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filterPrivacy="1"/>
  <xr:revisionPtr revIDLastSave="0" documentId="13_ncr:1_{03E5A2F7-5636-4F4E-8B6D-3DF37CF731E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Qty" sheetId="3" r:id="rId1"/>
    <sheet name="BBS" sheetId="7" r:id="rId2"/>
  </sheets>
  <definedNames>
    <definedName name="_xlnm._FilterDatabase" localSheetId="1" hidden="1">BBS!$E$33:$E$92</definedName>
    <definedName name="_xlnm.Print_Area" localSheetId="1">BBS!$A$33:$M$125</definedName>
    <definedName name="_xlnm.Print_Titles" localSheetId="1">BBS!$34:$34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" i="3" l="1"/>
  <c r="L115" i="7"/>
  <c r="I108" i="7"/>
  <c r="B10" i="3"/>
  <c r="B11" i="3" s="1"/>
  <c r="D17" i="3"/>
  <c r="T24" i="7"/>
  <c r="T26" i="7" s="1"/>
  <c r="D124" i="7"/>
  <c r="D123" i="7"/>
  <c r="D122" i="7"/>
  <c r="K112" i="7"/>
  <c r="K108" i="7"/>
  <c r="C103" i="7"/>
  <c r="B105" i="7"/>
  <c r="D105" i="7" s="1"/>
  <c r="T19" i="7"/>
  <c r="I104" i="7" s="1"/>
  <c r="K104" i="7"/>
  <c r="G10" i="3"/>
  <c r="F10" i="3"/>
  <c r="I11" i="3"/>
  <c r="I6" i="3"/>
  <c r="I68" i="7"/>
  <c r="K86" i="7"/>
  <c r="F86" i="7"/>
  <c r="C80" i="7"/>
  <c r="F77" i="7" s="1"/>
  <c r="K77" i="7"/>
  <c r="F46" i="7"/>
  <c r="F61" i="7"/>
  <c r="K53" i="7"/>
  <c r="C56" i="7"/>
  <c r="F53" i="7" s="1"/>
  <c r="K40" i="7"/>
  <c r="K99" i="7"/>
  <c r="K94" i="7"/>
  <c r="D94" i="7"/>
  <c r="K92" i="7"/>
  <c r="D92" i="7"/>
  <c r="K72" i="7"/>
  <c r="K68" i="7"/>
  <c r="K61" i="7"/>
  <c r="K46" i="7"/>
  <c r="K37" i="7"/>
  <c r="D37" i="7"/>
  <c r="S35" i="7"/>
  <c r="S58" i="7" s="1"/>
  <c r="O35" i="7"/>
  <c r="K35" i="7"/>
  <c r="D35" i="7"/>
  <c r="AE26" i="7"/>
  <c r="AE19" i="7"/>
  <c r="T17" i="7"/>
  <c r="C109" i="7" s="1"/>
  <c r="F108" i="7" s="1"/>
  <c r="X16" i="7"/>
  <c r="I72" i="7" s="1"/>
  <c r="V16" i="7"/>
  <c r="C70" i="7" s="1"/>
  <c r="W13" i="7"/>
  <c r="X9" i="7"/>
  <c r="X26" i="7"/>
  <c r="D69" i="7" s="1"/>
  <c r="J108" i="7" l="1"/>
  <c r="L108" i="7" s="1"/>
  <c r="C106" i="7"/>
  <c r="I94" i="7"/>
  <c r="C40" i="7"/>
  <c r="F40" i="7" s="1"/>
  <c r="C72" i="7"/>
  <c r="F72" i="7" s="1"/>
  <c r="J72" i="7" s="1"/>
  <c r="L72" i="7" s="1"/>
  <c r="C100" i="7"/>
  <c r="F99" i="7" s="1"/>
  <c r="I86" i="7"/>
  <c r="J86" i="7" s="1"/>
  <c r="L86" i="7" s="1"/>
  <c r="I53" i="7"/>
  <c r="J53" i="7" s="1"/>
  <c r="L53" i="7" s="1"/>
  <c r="I77" i="7"/>
  <c r="J77" i="7" s="1"/>
  <c r="L77" i="7" s="1"/>
  <c r="X6" i="7"/>
  <c r="C113" i="7" s="1"/>
  <c r="F112" i="7" s="1"/>
  <c r="J112" i="7" s="1"/>
  <c r="L112" i="7" s="1"/>
  <c r="I61" i="7"/>
  <c r="J61" i="7" s="1"/>
  <c r="L61" i="7" s="1"/>
  <c r="I46" i="7"/>
  <c r="J46" i="7" s="1"/>
  <c r="L46" i="7" s="1"/>
  <c r="D121" i="7" s="1"/>
  <c r="I35" i="7"/>
  <c r="AB17" i="7"/>
  <c r="V32" i="7" s="1"/>
  <c r="F68" i="7"/>
  <c r="J68" i="7" s="1"/>
  <c r="L68" i="7" s="1"/>
  <c r="I37" i="7"/>
  <c r="I92" i="7"/>
  <c r="F104" i="7" l="1"/>
  <c r="J104" i="7" s="1"/>
  <c r="L104" i="7" s="1"/>
  <c r="D118" i="7" s="1"/>
  <c r="I40" i="7"/>
  <c r="J40" i="7" s="1"/>
  <c r="L40" i="7" s="1"/>
  <c r="C92" i="7"/>
  <c r="F92" i="7" s="1"/>
  <c r="J92" i="7" s="1"/>
  <c r="L92" i="7" s="1"/>
  <c r="I99" i="7"/>
  <c r="J99" i="7" s="1"/>
  <c r="L99" i="7" s="1"/>
  <c r="AD12" i="7"/>
  <c r="AF8" i="7" s="1"/>
  <c r="C94" i="7"/>
  <c r="F94" i="7" s="1"/>
  <c r="J94" i="7" s="1"/>
  <c r="L94" i="7" s="1"/>
  <c r="C37" i="7"/>
  <c r="F37" i="7" s="1"/>
  <c r="J37" i="7" s="1"/>
  <c r="L37" i="7" s="1"/>
  <c r="D120" i="7" s="1"/>
  <c r="C35" i="7"/>
  <c r="F35" i="7" s="1"/>
  <c r="J35" i="7" s="1"/>
  <c r="L35" i="7" s="1"/>
  <c r="D119" i="7" l="1"/>
  <c r="AG14" i="7"/>
  <c r="L117" i="7"/>
  <c r="D125" i="7" l="1"/>
  <c r="L118" i="7"/>
  <c r="G9" i="3" l="1"/>
  <c r="I9" i="3" s="1"/>
  <c r="G8" i="3"/>
  <c r="I8" i="3" s="1"/>
  <c r="G7" i="3"/>
  <c r="I7" i="3" s="1"/>
  <c r="G5" i="3"/>
  <c r="I5" i="3" s="1"/>
  <c r="D16" i="3" s="1"/>
  <c r="G4" i="3"/>
  <c r="F4" i="3"/>
  <c r="I4" i="3" s="1"/>
  <c r="I12" i="3" l="1"/>
  <c r="D15" i="3"/>
  <c r="B5" i="3"/>
  <c r="B6" i="3" s="1"/>
  <c r="B7" i="3" s="1"/>
  <c r="B8" i="3" s="1"/>
  <c r="B9" i="3" s="1"/>
</calcChain>
</file>

<file path=xl/sharedStrings.xml><?xml version="1.0" encoding="utf-8"?>
<sst xmlns="http://schemas.openxmlformats.org/spreadsheetml/2006/main" count="104" uniqueCount="85">
  <si>
    <t>Description</t>
  </si>
  <si>
    <t>Cum</t>
  </si>
  <si>
    <t xml:space="preserve"> Width </t>
  </si>
  <si>
    <t xml:space="preserve">    Quantity </t>
  </si>
  <si>
    <t xml:space="preserve">    Unit </t>
  </si>
  <si>
    <t>Length</t>
  </si>
  <si>
    <t>GrandTotal</t>
  </si>
  <si>
    <t>Thickness</t>
  </si>
  <si>
    <t>Slab</t>
  </si>
  <si>
    <t>Width</t>
  </si>
  <si>
    <t>Grade</t>
  </si>
  <si>
    <t>M-15</t>
  </si>
  <si>
    <t>Bar Mark</t>
  </si>
  <si>
    <t>Shape of Bar</t>
  </si>
  <si>
    <t>Box Culvert PCC</t>
  </si>
  <si>
    <t>Box Culvert Raft</t>
  </si>
  <si>
    <t>Box Culvert Wall</t>
  </si>
  <si>
    <t>Box culvert Bottom Haunch</t>
  </si>
  <si>
    <t>Box culvert Top Haunch</t>
  </si>
  <si>
    <t>M-25</t>
  </si>
  <si>
    <t>Box culvert concrete</t>
  </si>
  <si>
    <t>Dia (mm)</t>
  </si>
  <si>
    <t>Cutting Length</t>
  </si>
  <si>
    <t>Spacing C/C</t>
  </si>
  <si>
    <t>No of Bars</t>
  </si>
  <si>
    <t>Total Length</t>
  </si>
  <si>
    <t>Unit Weight</t>
  </si>
  <si>
    <t>Total Weight (Kg.)</t>
  </si>
  <si>
    <t>Remarks</t>
  </si>
  <si>
    <t>Wall Outer side Main Bar</t>
  </si>
  <si>
    <t>Wall Inner side Main Bar</t>
  </si>
  <si>
    <t>Slab Top side Main Bar</t>
  </si>
  <si>
    <t>Top Haunch Bar</t>
  </si>
  <si>
    <t>Bottom Haunch Bar</t>
  </si>
  <si>
    <t>TOTAL STEEL IN KG=</t>
  </si>
  <si>
    <t>Si.no</t>
  </si>
  <si>
    <t>Dia of bar</t>
  </si>
  <si>
    <t>Qty in MT</t>
  </si>
  <si>
    <t>8 mm</t>
  </si>
  <si>
    <t>10 mm</t>
  </si>
  <si>
    <t>12 mm</t>
  </si>
  <si>
    <t>16 mm</t>
  </si>
  <si>
    <t>20 mm</t>
  </si>
  <si>
    <t>25 mm</t>
  </si>
  <si>
    <t>32 mm</t>
  </si>
  <si>
    <t>Total Qty=</t>
  </si>
  <si>
    <t>Sr No</t>
  </si>
  <si>
    <t>Str No</t>
  </si>
  <si>
    <t>Chainage</t>
  </si>
  <si>
    <t>Span</t>
  </si>
  <si>
    <t>RTL</t>
  </si>
  <si>
    <t>RTL-1</t>
  </si>
  <si>
    <t>RTL-2</t>
  </si>
  <si>
    <t>HFL</t>
  </si>
  <si>
    <t>Bed Level</t>
  </si>
  <si>
    <t>IL-1</t>
  </si>
  <si>
    <t>IL-2</t>
  </si>
  <si>
    <t>Dimension</t>
  </si>
  <si>
    <t>Skew</t>
  </si>
  <si>
    <t>TCS</t>
  </si>
  <si>
    <t>Wall Outer</t>
  </si>
  <si>
    <t>Wall Inner</t>
  </si>
  <si>
    <t>Raft</t>
  </si>
  <si>
    <t>Inner Height</t>
  </si>
  <si>
    <t>BEND CORRECTION</t>
  </si>
  <si>
    <t>TOTAL LENGTH</t>
  </si>
  <si>
    <t>Cut off length</t>
  </si>
  <si>
    <t>Cut off Width</t>
  </si>
  <si>
    <t>Cut off Height</t>
  </si>
  <si>
    <t>Bottom Corner Bar</t>
  </si>
  <si>
    <t>Raft Top and Bottom Distribution Bar</t>
  </si>
  <si>
    <t>Slab Bottom  Main Bar</t>
  </si>
  <si>
    <t>Top Corner Bar</t>
  </si>
  <si>
    <t>Raft Bottom main Bar</t>
  </si>
  <si>
    <t>Raft Top Main Bar</t>
  </si>
  <si>
    <t>Wall</t>
  </si>
  <si>
    <t>Wall distribution bar with lapping</t>
  </si>
  <si>
    <t>Slab Top and Bottom Distribution Bar with lapping</t>
  </si>
  <si>
    <t>CutOff wall</t>
  </si>
  <si>
    <t>CutOff wall PCC</t>
  </si>
  <si>
    <t>Cut off wall main bar</t>
  </si>
  <si>
    <t>Cut off wall Dist bar</t>
  </si>
  <si>
    <t>Cut off wall Top &amp; Bottom Dist bar</t>
  </si>
  <si>
    <t xml:space="preserve">Bar Bending Schedule for Box Culvert </t>
  </si>
  <si>
    <t xml:space="preserve">   Sl 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</si>
</sst>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0.000"/>
    <numFmt numFmtId="166" formatCode="0.0"/>
    <numFmt numFmtId="167" formatCode="0.0000"/>
    <numFmt numFmtId="168" formatCode="0\ &quot;x&quot;"/>
    <numFmt numFmtId="169" formatCode="0\+000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name val="Verdana"/>
      <family val="2"/>
    </font>
    <font>
      <b/>
      <sz val="11"/>
      <name val="Verdana"/>
      <family val="2"/>
    </font>
    <font>
      <sz val="12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b/>
      <sz val="8"/>
      <color theme="0"/>
      <name val="Verdana"/>
      <family val="2"/>
    </font>
    <font>
      <sz val="8"/>
      <color theme="0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</cellStyleXfs>
  <cellXfs count="172">
    <xf numFmtId="0" fontId="0" fillId="0" borderId="0" xfId="0"/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2" xfId="0" applyBorder="1"/>
    <xf numFmtId="165" fontId="0" fillId="0" borderId="2" xfId="0" applyNumberFormat="1" applyBorder="1"/>
    <xf numFmtId="2" fontId="0" fillId="0" borderId="2" xfId="0" applyNumberFormat="1" applyBorder="1"/>
    <xf numFmtId="0" fontId="0" fillId="0" borderId="2" xfId="0" applyBorder="1" applyAlignment="1">
      <alignment wrapText="1"/>
    </xf>
    <xf numFmtId="2" fontId="2" fillId="0" borderId="2" xfId="0" applyNumberFormat="1" applyFont="1" applyBorder="1"/>
    <xf numFmtId="1" fontId="7" fillId="0" borderId="0" xfId="2" applyNumberFormat="1" applyFont="1" applyAlignment="1">
      <alignment horizontal="center" vertical="center"/>
    </xf>
    <xf numFmtId="0" fontId="7" fillId="0" borderId="0" xfId="2" applyFont="1"/>
    <xf numFmtId="0" fontId="7" fillId="0" borderId="0" xfId="2" applyFont="1" applyAlignment="1">
      <alignment horizontal="center"/>
    </xf>
    <xf numFmtId="165" fontId="7" fillId="0" borderId="0" xfId="2" applyNumberFormat="1" applyFont="1"/>
    <xf numFmtId="168" fontId="7" fillId="0" borderId="0" xfId="2" applyNumberFormat="1" applyFont="1"/>
    <xf numFmtId="1" fontId="7" fillId="0" borderId="0" xfId="2" applyNumberFormat="1" applyFont="1"/>
    <xf numFmtId="0" fontId="7" fillId="0" borderId="0" xfId="2" applyFont="1" applyAlignment="1">
      <alignment horizontal="center" vertical="center"/>
    </xf>
    <xf numFmtId="0" fontId="12" fillId="0" borderId="0" xfId="2" applyFont="1"/>
    <xf numFmtId="0" fontId="2" fillId="0" borderId="17" xfId="0" applyFont="1" applyBorder="1" applyAlignment="1">
      <alignment horizontal="center" vertical="center"/>
    </xf>
    <xf numFmtId="165" fontId="8" fillId="0" borderId="0" xfId="2" applyNumberFormat="1" applyFont="1" applyAlignment="1">
      <alignment horizontal="center" vertical="center"/>
    </xf>
    <xf numFmtId="0" fontId="0" fillId="0" borderId="13" xfId="0" applyBorder="1"/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9" fontId="0" fillId="0" borderId="2" xfId="0" applyNumberFormat="1" applyBorder="1" applyAlignment="1">
      <alignment horizontal="center" vertical="center"/>
    </xf>
    <xf numFmtId="165" fontId="12" fillId="0" borderId="0" xfId="2" applyNumberFormat="1" applyFont="1"/>
    <xf numFmtId="165" fontId="8" fillId="0" borderId="0" xfId="2" applyNumberFormat="1" applyFont="1" applyAlignment="1">
      <alignment horizontal="center"/>
    </xf>
    <xf numFmtId="167" fontId="7" fillId="0" borderId="0" xfId="2" applyNumberFormat="1" applyFont="1" applyAlignment="1">
      <alignment horizontal="center" vertical="center"/>
    </xf>
    <xf numFmtId="165" fontId="8" fillId="0" borderId="0" xfId="2" applyNumberFormat="1" applyFont="1" applyAlignment="1">
      <alignment horizontal="left"/>
    </xf>
    <xf numFmtId="0" fontId="12" fillId="0" borderId="0" xfId="2" applyFont="1" applyAlignment="1">
      <alignment wrapText="1"/>
    </xf>
    <xf numFmtId="0" fontId="12" fillId="0" borderId="0" xfId="2" applyFont="1" applyAlignment="1">
      <alignment horizontal="right"/>
    </xf>
    <xf numFmtId="165" fontId="7" fillId="0" borderId="0" xfId="2" applyNumberFormat="1" applyFont="1" applyAlignment="1">
      <alignment horizontal="center"/>
    </xf>
    <xf numFmtId="0" fontId="7" fillId="0" borderId="0" xfId="2" applyFont="1" applyAlignment="1">
      <alignment horizontal="right"/>
    </xf>
    <xf numFmtId="0" fontId="6" fillId="0" borderId="0" xfId="2" applyFont="1"/>
    <xf numFmtId="165" fontId="6" fillId="0" borderId="0" xfId="2" applyNumberFormat="1" applyFont="1"/>
    <xf numFmtId="0" fontId="6" fillId="0" borderId="0" xfId="2" applyFont="1" applyAlignment="1">
      <alignment horizontal="center"/>
    </xf>
    <xf numFmtId="0" fontId="6" fillId="0" borderId="0" xfId="2" applyFont="1" applyAlignment="1">
      <alignment horizontal="center" vertical="center"/>
    </xf>
    <xf numFmtId="165" fontId="7" fillId="0" borderId="0" xfId="2" applyNumberFormat="1" applyFont="1" applyAlignment="1">
      <alignment horizontal="right"/>
    </xf>
    <xf numFmtId="0" fontId="8" fillId="0" borderId="0" xfId="2" applyFont="1" applyAlignment="1">
      <alignment horizontal="center" vertical="center"/>
    </xf>
    <xf numFmtId="165" fontId="8" fillId="0" borderId="0" xfId="2" applyNumberFormat="1" applyFont="1" applyAlignment="1">
      <alignment horizontal="right" vertical="center"/>
    </xf>
    <xf numFmtId="1" fontId="5" fillId="0" borderId="18" xfId="2" applyNumberFormat="1" applyFont="1" applyBorder="1" applyAlignment="1">
      <alignment horizontal="center" vertical="center" wrapText="1"/>
    </xf>
    <xf numFmtId="0" fontId="5" fillId="0" borderId="19" xfId="2" applyFont="1" applyBorder="1" applyAlignment="1">
      <alignment horizontal="center" vertical="center" wrapText="1"/>
    </xf>
    <xf numFmtId="165" fontId="5" fillId="0" borderId="19" xfId="2" applyNumberFormat="1" applyFont="1" applyBorder="1" applyAlignment="1">
      <alignment horizontal="center" vertical="center" wrapText="1"/>
    </xf>
    <xf numFmtId="0" fontId="5" fillId="0" borderId="6" xfId="2" applyFont="1" applyBorder="1" applyAlignment="1">
      <alignment horizontal="center" vertical="center" wrapText="1"/>
    </xf>
    <xf numFmtId="0" fontId="5" fillId="0" borderId="0" xfId="2" applyFont="1" applyAlignment="1">
      <alignment wrapText="1"/>
    </xf>
    <xf numFmtId="165" fontId="13" fillId="0" borderId="0" xfId="2" applyNumberFormat="1" applyFont="1"/>
    <xf numFmtId="165" fontId="13" fillId="0" borderId="0" xfId="2" applyNumberFormat="1" applyFont="1" applyAlignment="1">
      <alignment horizontal="right"/>
    </xf>
    <xf numFmtId="165" fontId="5" fillId="0" borderId="0" xfId="2" applyNumberFormat="1" applyFont="1" applyAlignment="1">
      <alignment horizontal="right"/>
    </xf>
    <xf numFmtId="165" fontId="5" fillId="0" borderId="0" xfId="2" applyNumberFormat="1" applyFont="1" applyAlignment="1">
      <alignment wrapText="1"/>
    </xf>
    <xf numFmtId="165" fontId="6" fillId="0" borderId="7" xfId="2" applyNumberFormat="1" applyFont="1" applyBorder="1" applyAlignment="1">
      <alignment horizontal="left"/>
    </xf>
    <xf numFmtId="165" fontId="6" fillId="0" borderId="8" xfId="2" applyNumberFormat="1" applyFont="1" applyBorder="1" applyAlignment="1">
      <alignment horizontal="center"/>
    </xf>
    <xf numFmtId="165" fontId="6" fillId="0" borderId="9" xfId="2" applyNumberFormat="1" applyFont="1" applyBorder="1" applyAlignment="1">
      <alignment horizontal="right"/>
    </xf>
    <xf numFmtId="0" fontId="6" fillId="0" borderId="3" xfId="2" applyFont="1" applyBorder="1" applyAlignment="1">
      <alignment horizontal="center"/>
    </xf>
    <xf numFmtId="165" fontId="6" fillId="0" borderId="3" xfId="2" applyNumberFormat="1" applyFont="1" applyBorder="1" applyAlignment="1">
      <alignment horizontal="center"/>
    </xf>
    <xf numFmtId="168" fontId="6" fillId="0" borderId="3" xfId="2" applyNumberFormat="1" applyFont="1" applyBorder="1" applyAlignment="1">
      <alignment horizontal="center"/>
    </xf>
    <xf numFmtId="1" fontId="6" fillId="0" borderId="3" xfId="2" applyNumberFormat="1" applyFont="1" applyBorder="1" applyAlignment="1">
      <alignment horizontal="center"/>
    </xf>
    <xf numFmtId="0" fontId="5" fillId="0" borderId="1" xfId="2" applyFont="1" applyBorder="1" applyAlignment="1">
      <alignment horizontal="center" vertical="center" wrapText="1"/>
    </xf>
    <xf numFmtId="0" fontId="5" fillId="0" borderId="10" xfId="2" applyFont="1" applyBorder="1" applyAlignment="1">
      <alignment horizontal="center" vertical="center" wrapText="1"/>
    </xf>
    <xf numFmtId="165" fontId="5" fillId="0" borderId="10" xfId="2" applyNumberFormat="1" applyFont="1" applyBorder="1" applyAlignment="1">
      <alignment horizontal="center" vertical="center" wrapText="1"/>
    </xf>
    <xf numFmtId="0" fontId="5" fillId="0" borderId="0" xfId="2" applyFont="1" applyAlignment="1">
      <alignment horizontal="center" wrapText="1"/>
    </xf>
    <xf numFmtId="0" fontId="8" fillId="0" borderId="0" xfId="2" applyFont="1" applyAlignment="1">
      <alignment wrapText="1"/>
    </xf>
    <xf numFmtId="165" fontId="6" fillId="0" borderId="4" xfId="2" applyNumberFormat="1" applyFont="1" applyBorder="1"/>
    <xf numFmtId="165" fontId="6" fillId="0" borderId="1" xfId="2" applyNumberFormat="1" applyFont="1" applyBorder="1" applyAlignment="1">
      <alignment horizontal="center"/>
    </xf>
    <xf numFmtId="165" fontId="6" fillId="0" borderId="10" xfId="2" applyNumberFormat="1" applyFont="1" applyBorder="1" applyAlignment="1">
      <alignment horizontal="center"/>
    </xf>
    <xf numFmtId="0" fontId="6" fillId="0" borderId="13" xfId="2" applyFont="1" applyBorder="1" applyAlignment="1">
      <alignment horizontal="center"/>
    </xf>
    <xf numFmtId="165" fontId="6" fillId="0" borderId="13" xfId="2" applyNumberFormat="1" applyFont="1" applyBorder="1" applyAlignment="1">
      <alignment horizontal="center"/>
    </xf>
    <xf numFmtId="168" fontId="6" fillId="0" borderId="13" xfId="2" applyNumberFormat="1" applyFont="1" applyBorder="1" applyAlignment="1">
      <alignment horizontal="center"/>
    </xf>
    <xf numFmtId="1" fontId="6" fillId="0" borderId="13" xfId="2" applyNumberFormat="1" applyFont="1" applyBorder="1" applyAlignment="1">
      <alignment horizontal="center"/>
    </xf>
    <xf numFmtId="165" fontId="6" fillId="0" borderId="7" xfId="2" applyNumberFormat="1" applyFont="1" applyBorder="1"/>
    <xf numFmtId="165" fontId="6" fillId="0" borderId="9" xfId="2" applyNumberFormat="1" applyFont="1" applyBorder="1" applyAlignment="1">
      <alignment horizontal="center"/>
    </xf>
    <xf numFmtId="165" fontId="6" fillId="0" borderId="11" xfId="2" applyNumberFormat="1" applyFont="1" applyBorder="1"/>
    <xf numFmtId="165" fontId="6" fillId="0" borderId="12" xfId="2" applyNumberFormat="1" applyFont="1" applyBorder="1" applyAlignment="1">
      <alignment horizontal="center"/>
    </xf>
    <xf numFmtId="0" fontId="6" fillId="0" borderId="14" xfId="2" applyFont="1" applyBorder="1" applyAlignment="1">
      <alignment horizontal="center"/>
    </xf>
    <xf numFmtId="165" fontId="6" fillId="0" borderId="14" xfId="2" applyNumberFormat="1" applyFont="1" applyBorder="1" applyAlignment="1">
      <alignment horizontal="center"/>
    </xf>
    <xf numFmtId="168" fontId="6" fillId="0" borderId="14" xfId="2" applyNumberFormat="1" applyFont="1" applyBorder="1" applyAlignment="1">
      <alignment horizontal="center"/>
    </xf>
    <xf numFmtId="165" fontId="6" fillId="0" borderId="14" xfId="2" applyNumberFormat="1" applyFont="1" applyBorder="1" applyAlignment="1">
      <alignment horizontal="center" wrapText="1"/>
    </xf>
    <xf numFmtId="1" fontId="6" fillId="0" borderId="14" xfId="2" applyNumberFormat="1" applyFont="1" applyBorder="1" applyAlignment="1">
      <alignment horizontal="center"/>
    </xf>
    <xf numFmtId="165" fontId="6" fillId="0" borderId="4" xfId="2" applyNumberFormat="1" applyFont="1" applyBorder="1" applyAlignment="1">
      <alignment horizontal="center"/>
    </xf>
    <xf numFmtId="165" fontId="6" fillId="0" borderId="13" xfId="2" applyNumberFormat="1" applyFont="1" applyBorder="1" applyAlignment="1">
      <alignment horizontal="center" wrapText="1"/>
    </xf>
    <xf numFmtId="165" fontId="6" fillId="0" borderId="11" xfId="2" applyNumberFormat="1" applyFont="1" applyBorder="1" applyAlignment="1">
      <alignment horizontal="left"/>
    </xf>
    <xf numFmtId="165" fontId="6" fillId="0" borderId="8" xfId="2" applyNumberFormat="1" applyFont="1" applyBorder="1"/>
    <xf numFmtId="0" fontId="6" fillId="0" borderId="14" xfId="2" applyFont="1" applyBorder="1"/>
    <xf numFmtId="165" fontId="6" fillId="0" borderId="14" xfId="2" applyNumberFormat="1" applyFont="1" applyBorder="1"/>
    <xf numFmtId="165" fontId="6" fillId="0" borderId="12" xfId="2" applyNumberFormat="1" applyFont="1" applyBorder="1" applyAlignment="1">
      <alignment horizontal="left"/>
    </xf>
    <xf numFmtId="165" fontId="6" fillId="0" borderId="1" xfId="2" applyNumberFormat="1" applyFont="1" applyBorder="1" applyAlignment="1">
      <alignment horizontal="right"/>
    </xf>
    <xf numFmtId="165" fontId="6" fillId="0" borderId="11" xfId="2" applyNumberFormat="1" applyFont="1" applyBorder="1" applyAlignment="1">
      <alignment horizontal="center"/>
    </xf>
    <xf numFmtId="165" fontId="6" fillId="0" borderId="3" xfId="2" applyNumberFormat="1" applyFont="1" applyBorder="1" applyAlignment="1">
      <alignment horizontal="center" wrapText="1"/>
    </xf>
    <xf numFmtId="165" fontId="6" fillId="0" borderId="4" xfId="2" applyNumberFormat="1" applyFont="1" applyBorder="1" applyAlignment="1">
      <alignment horizontal="left"/>
    </xf>
    <xf numFmtId="165" fontId="6" fillId="0" borderId="1" xfId="2" applyNumberFormat="1" applyFont="1" applyBorder="1"/>
    <xf numFmtId="165" fontId="6" fillId="0" borderId="8" xfId="2" applyNumberFormat="1" applyFont="1" applyBorder="1" applyAlignment="1">
      <alignment horizontal="right"/>
    </xf>
    <xf numFmtId="168" fontId="7" fillId="0" borderId="0" xfId="2" applyNumberFormat="1" applyFont="1" applyAlignment="1">
      <alignment horizontal="center"/>
    </xf>
    <xf numFmtId="1" fontId="7" fillId="0" borderId="0" xfId="2" applyNumberFormat="1" applyFont="1" applyAlignment="1">
      <alignment horizontal="center"/>
    </xf>
    <xf numFmtId="0" fontId="8" fillId="0" borderId="0" xfId="2" applyFont="1" applyAlignment="1">
      <alignment horizontal="center"/>
    </xf>
    <xf numFmtId="0" fontId="4" fillId="0" borderId="25" xfId="2" applyFont="1" applyBorder="1" applyAlignment="1">
      <alignment horizontal="center" vertical="center"/>
    </xf>
    <xf numFmtId="0" fontId="4" fillId="0" borderId="26" xfId="2" applyFont="1" applyBorder="1" applyAlignment="1">
      <alignment horizontal="center" vertical="center"/>
    </xf>
    <xf numFmtId="0" fontId="4" fillId="0" borderId="27" xfId="2" applyFont="1" applyBorder="1" applyAlignment="1">
      <alignment horizontal="center" vertical="center" wrapText="1"/>
    </xf>
    <xf numFmtId="165" fontId="9" fillId="0" borderId="0" xfId="2" applyNumberFormat="1" applyFont="1" applyAlignment="1">
      <alignment horizontal="center"/>
    </xf>
    <xf numFmtId="0" fontId="6" fillId="0" borderId="28" xfId="2" applyFont="1" applyBorder="1" applyAlignment="1">
      <alignment horizontal="center" vertical="center"/>
    </xf>
    <xf numFmtId="0" fontId="6" fillId="0" borderId="29" xfId="2" applyFont="1" applyBorder="1" applyAlignment="1">
      <alignment horizontal="center" vertical="center"/>
    </xf>
    <xf numFmtId="165" fontId="6" fillId="0" borderId="30" xfId="2" applyNumberFormat="1" applyFont="1" applyBorder="1" applyAlignment="1">
      <alignment horizontal="center"/>
    </xf>
    <xf numFmtId="0" fontId="10" fillId="0" borderId="0" xfId="2" applyFont="1"/>
    <xf numFmtId="0" fontId="6" fillId="0" borderId="31" xfId="2" applyFont="1" applyBorder="1" applyAlignment="1">
      <alignment horizontal="center" vertical="center"/>
    </xf>
    <xf numFmtId="0" fontId="6" fillId="0" borderId="32" xfId="2" applyFont="1" applyBorder="1" applyAlignment="1">
      <alignment horizontal="center" vertical="center"/>
    </xf>
    <xf numFmtId="165" fontId="6" fillId="0" borderId="33" xfId="2" applyNumberFormat="1" applyFont="1" applyBorder="1" applyAlignment="1">
      <alignment horizontal="center"/>
    </xf>
    <xf numFmtId="165" fontId="8" fillId="0" borderId="0" xfId="2" applyNumberFormat="1" applyFont="1"/>
    <xf numFmtId="165" fontId="11" fillId="0" borderId="36" xfId="2" applyNumberFormat="1" applyFont="1" applyBorder="1" applyAlignment="1">
      <alignment horizontal="center" vertical="center"/>
    </xf>
    <xf numFmtId="1" fontId="6" fillId="0" borderId="0" xfId="2" applyNumberFormat="1" applyFont="1"/>
    <xf numFmtId="168" fontId="6" fillId="0" borderId="0" xfId="2" applyNumberFormat="1" applyFont="1" applyAlignment="1">
      <alignment horizontal="center"/>
    </xf>
    <xf numFmtId="0" fontId="6" fillId="0" borderId="0" xfId="2" applyFont="1" applyAlignment="1">
      <alignment horizontal="left"/>
    </xf>
    <xf numFmtId="168" fontId="6" fillId="0" borderId="11" xfId="2" applyNumberFormat="1" applyFont="1" applyBorder="1" applyAlignment="1">
      <alignment horizontal="center"/>
    </xf>
    <xf numFmtId="168" fontId="6" fillId="0" borderId="7" xfId="2" applyNumberFormat="1" applyFont="1" applyBorder="1" applyAlignment="1">
      <alignment horizontal="center"/>
    </xf>
    <xf numFmtId="168" fontId="6" fillId="0" borderId="4" xfId="2" applyNumberFormat="1" applyFont="1" applyBorder="1" applyAlignment="1">
      <alignment horizontal="center"/>
    </xf>
    <xf numFmtId="165" fontId="6" fillId="0" borderId="0" xfId="2" applyNumberFormat="1" applyFont="1" applyAlignment="1">
      <alignment horizontal="right"/>
    </xf>
    <xf numFmtId="165" fontId="6" fillId="0" borderId="0" xfId="2" applyNumberFormat="1" applyFont="1" applyAlignment="1">
      <alignment horizontal="center"/>
    </xf>
    <xf numFmtId="165" fontId="6" fillId="0" borderId="8" xfId="2" applyNumberFormat="1" applyFont="1" applyBorder="1" applyAlignment="1">
      <alignment horizontal="center" vertical="center"/>
    </xf>
    <xf numFmtId="165" fontId="7" fillId="2" borderId="0" xfId="2" applyNumberFormat="1" applyFont="1" applyFill="1"/>
    <xf numFmtId="1" fontId="7" fillId="2" borderId="0" xfId="2" applyNumberFormat="1" applyFont="1" applyFill="1"/>
    <xf numFmtId="165" fontId="6" fillId="0" borderId="11" xfId="2" applyNumberFormat="1" applyFont="1" applyBorder="1" applyAlignment="1">
      <alignment vertical="center"/>
    </xf>
    <xf numFmtId="165" fontId="6" fillId="0" borderId="1" xfId="2" applyNumberFormat="1" applyFont="1" applyBorder="1" applyAlignment="1">
      <alignment horizontal="left"/>
    </xf>
    <xf numFmtId="165" fontId="6" fillId="0" borderId="0" xfId="2" applyNumberFormat="1" applyFont="1" applyAlignment="1">
      <alignment horizontal="center" vertical="center"/>
    </xf>
    <xf numFmtId="165" fontId="6" fillId="0" borderId="0" xfId="2" applyNumberFormat="1" applyFont="1" applyAlignment="1">
      <alignment horizontal="left"/>
    </xf>
    <xf numFmtId="165" fontId="6" fillId="0" borderId="0" xfId="2" applyNumberFormat="1" applyFont="1" applyAlignment="1">
      <alignment horizontal="left" vertical="top"/>
    </xf>
    <xf numFmtId="165" fontId="6" fillId="0" borderId="0" xfId="2" applyNumberFormat="1" applyFont="1" applyAlignment="1">
      <alignment horizontal="right" vertical="top"/>
    </xf>
    <xf numFmtId="165" fontId="6" fillId="0" borderId="0" xfId="2" applyNumberFormat="1" applyFont="1" applyAlignment="1">
      <alignment vertical="center"/>
    </xf>
    <xf numFmtId="1" fontId="6" fillId="0" borderId="48" xfId="2" applyNumberFormat="1" applyFont="1" applyBorder="1" applyAlignment="1">
      <alignment horizontal="center" vertical="center"/>
    </xf>
    <xf numFmtId="165" fontId="6" fillId="0" borderId="49" xfId="2" applyNumberFormat="1" applyFont="1" applyBorder="1"/>
    <xf numFmtId="165" fontId="6" fillId="0" borderId="49" xfId="2" applyNumberFormat="1" applyFont="1" applyBorder="1" applyAlignment="1">
      <alignment horizontal="left"/>
    </xf>
    <xf numFmtId="165" fontId="6" fillId="0" borderId="49" xfId="2" applyNumberFormat="1" applyFont="1" applyBorder="1" applyAlignment="1">
      <alignment horizontal="center"/>
    </xf>
    <xf numFmtId="0" fontId="6" fillId="0" borderId="49" xfId="2" applyFont="1" applyBorder="1" applyAlignment="1">
      <alignment horizontal="center"/>
    </xf>
    <xf numFmtId="164" fontId="6" fillId="0" borderId="49" xfId="2" applyNumberFormat="1" applyFont="1" applyBorder="1" applyAlignment="1">
      <alignment horizontal="center"/>
    </xf>
    <xf numFmtId="166" fontId="4" fillId="0" borderId="49" xfId="2" applyNumberFormat="1" applyFont="1" applyBorder="1" applyAlignment="1">
      <alignment horizontal="center" vertical="center"/>
    </xf>
    <xf numFmtId="0" fontId="6" fillId="0" borderId="50" xfId="2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/>
    </xf>
    <xf numFmtId="2" fontId="2" fillId="0" borderId="54" xfId="0" applyNumberFormat="1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2" fontId="2" fillId="0" borderId="51" xfId="0" applyNumberFormat="1" applyFont="1" applyBorder="1" applyAlignment="1">
      <alignment horizontal="center"/>
    </xf>
    <xf numFmtId="0" fontId="2" fillId="0" borderId="52" xfId="0" applyFont="1" applyBorder="1" applyAlignment="1">
      <alignment horizontal="center"/>
    </xf>
    <xf numFmtId="2" fontId="2" fillId="0" borderId="47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1" fontId="6" fillId="0" borderId="15" xfId="2" applyNumberFormat="1" applyFont="1" applyBorder="1" applyAlignment="1">
      <alignment horizontal="center" vertical="center" wrapText="1"/>
    </xf>
    <xf numFmtId="1" fontId="6" fillId="0" borderId="23" xfId="2" applyNumberFormat="1" applyFont="1" applyBorder="1" applyAlignment="1">
      <alignment horizontal="center" vertical="center" wrapText="1"/>
    </xf>
    <xf numFmtId="1" fontId="6" fillId="0" borderId="16" xfId="2" applyNumberFormat="1" applyFont="1" applyBorder="1" applyAlignment="1">
      <alignment horizontal="center" vertical="center" wrapText="1"/>
    </xf>
    <xf numFmtId="0" fontId="6" fillId="0" borderId="21" xfId="2" applyFont="1" applyBorder="1" applyAlignment="1">
      <alignment horizontal="center" vertical="center" wrapText="1"/>
    </xf>
    <xf numFmtId="0" fontId="6" fillId="0" borderId="24" xfId="2" applyFont="1" applyBorder="1" applyAlignment="1">
      <alignment horizontal="center" vertical="center" wrapText="1"/>
    </xf>
    <xf numFmtId="0" fontId="6" fillId="0" borderId="22" xfId="2" applyFont="1" applyBorder="1" applyAlignment="1">
      <alignment horizontal="center" vertical="center" wrapText="1"/>
    </xf>
    <xf numFmtId="1" fontId="6" fillId="0" borderId="15" xfId="2" applyNumberFormat="1" applyFont="1" applyBorder="1" applyAlignment="1">
      <alignment horizontal="center" vertical="center"/>
    </xf>
    <xf numFmtId="1" fontId="6" fillId="0" borderId="23" xfId="2" applyNumberFormat="1" applyFont="1" applyBorder="1" applyAlignment="1">
      <alignment horizontal="center" vertical="center"/>
    </xf>
    <xf numFmtId="1" fontId="6" fillId="0" borderId="16" xfId="2" applyNumberFormat="1" applyFont="1" applyBorder="1" applyAlignment="1">
      <alignment horizontal="center" vertical="center"/>
    </xf>
    <xf numFmtId="0" fontId="6" fillId="0" borderId="47" xfId="2" applyFont="1" applyBorder="1" applyAlignment="1">
      <alignment horizontal="center" vertical="center" wrapText="1"/>
    </xf>
    <xf numFmtId="0" fontId="6" fillId="0" borderId="0" xfId="2" applyFont="1" applyAlignment="1">
      <alignment horizontal="right" vertical="center"/>
    </xf>
    <xf numFmtId="0" fontId="6" fillId="0" borderId="0" xfId="2" applyFont="1" applyAlignment="1">
      <alignment horizontal="right"/>
    </xf>
    <xf numFmtId="168" fontId="4" fillId="0" borderId="49" xfId="2" applyNumberFormat="1" applyFont="1" applyBorder="1" applyAlignment="1">
      <alignment horizontal="right"/>
    </xf>
    <xf numFmtId="0" fontId="4" fillId="0" borderId="34" xfId="2" applyFont="1" applyBorder="1" applyAlignment="1">
      <alignment horizontal="right" vertical="center"/>
    </xf>
    <xf numFmtId="0" fontId="4" fillId="0" borderId="35" xfId="2" applyFont="1" applyBorder="1" applyAlignment="1">
      <alignment horizontal="right" vertical="center"/>
    </xf>
    <xf numFmtId="0" fontId="4" fillId="0" borderId="0" xfId="2" applyFont="1" applyAlignment="1">
      <alignment horizontal="center" vertical="center"/>
    </xf>
    <xf numFmtId="0" fontId="4" fillId="0" borderId="0" xfId="2" applyFont="1" applyAlignment="1">
      <alignment horizontal="center"/>
    </xf>
    <xf numFmtId="0" fontId="8" fillId="0" borderId="0" xfId="2" applyFont="1" applyAlignment="1">
      <alignment horizontal="center" wrapText="1"/>
    </xf>
    <xf numFmtId="0" fontId="4" fillId="0" borderId="44" xfId="2" applyFont="1" applyBorder="1" applyAlignment="1">
      <alignment horizontal="center" vertical="center"/>
    </xf>
    <xf numFmtId="0" fontId="4" fillId="0" borderId="45" xfId="2" applyFont="1" applyBorder="1" applyAlignment="1">
      <alignment horizontal="center" vertical="center"/>
    </xf>
    <xf numFmtId="0" fontId="4" fillId="0" borderId="46" xfId="2" applyFont="1" applyBorder="1" applyAlignment="1">
      <alignment horizontal="center" vertical="center"/>
    </xf>
    <xf numFmtId="0" fontId="5" fillId="0" borderId="19" xfId="2" applyFont="1" applyBorder="1" applyAlignment="1">
      <alignment horizontal="center" vertical="center" wrapText="1"/>
    </xf>
    <xf numFmtId="0" fontId="5" fillId="0" borderId="20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12" fillId="0" borderId="0" xfId="2" applyFont="1" applyAlignment="1">
      <alignment horizontal="center" wrapText="1"/>
    </xf>
    <xf numFmtId="0" fontId="12" fillId="0" borderId="0" xfId="2" applyFont="1" applyAlignment="1">
      <alignment horizontal="center"/>
    </xf>
    <xf numFmtId="0" fontId="2" fillId="0" borderId="3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</cellXfs>
  <cellStyles count="4">
    <cellStyle name="Comma 10" xfId="3" xr:uid="{00000000-0005-0000-0000-000000000000}"/>
    <cellStyle name="Normal" xfId="0" builtinId="0"/>
    <cellStyle name="Normal 2 2" xfId="2" xr:uid="{00000000-0005-0000-0000-000002000000}"/>
    <cellStyle name="Normal 3 6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514350</xdr:colOff>
      <xdr:row>34</xdr:row>
      <xdr:rowOff>238125</xdr:rowOff>
    </xdr:from>
    <xdr:to>
      <xdr:col>3</xdr:col>
      <xdr:colOff>133350</xdr:colOff>
      <xdr:row>35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C7820EAF-BF17-440C-8BF0-EB98E311ED4E}"/>
            </a:ext>
          </a:extLst>
        </xdr:cNvPr>
        <xdr:cNvSpPr>
          <a:spLocks/>
        </xdr:cNvSpPr>
      </xdr:nvSpPr>
      <xdr:spPr bwMode="auto">
        <a:xfrm rot="10800000" flipV="1">
          <a:off x="1101090" y="8109585"/>
          <a:ext cx="1409700" cy="203835"/>
        </a:xfrm>
        <a:custGeom>
          <a:avLst/>
          <a:gdLst>
            <a:gd name="T0" fmla="*/ 0 w 170"/>
            <a:gd name="T1" fmla="*/ 2147483646 h 16"/>
            <a:gd name="T2" fmla="*/ 0 w 170"/>
            <a:gd name="T3" fmla="*/ 2147483646 h 16"/>
            <a:gd name="T4" fmla="*/ 2147483646 w 170"/>
            <a:gd name="T5" fmla="*/ 2147483646 h 16"/>
            <a:gd name="T6" fmla="*/ 2147483646 w 170"/>
            <a:gd name="T7" fmla="*/ 0 h 16"/>
            <a:gd name="T8" fmla="*/ 0 60000 65536"/>
            <a:gd name="T9" fmla="*/ 0 60000 65536"/>
            <a:gd name="T10" fmla="*/ 0 60000 65536"/>
            <a:gd name="T11" fmla="*/ 0 60000 65536"/>
            <a:gd name="T12" fmla="*/ 0 w 170"/>
            <a:gd name="T13" fmla="*/ 0 h 16"/>
            <a:gd name="T14" fmla="*/ 170 w 170"/>
            <a:gd name="T15" fmla="*/ 16 h 16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70" h="16">
              <a:moveTo>
                <a:pt x="0" y="1"/>
              </a:moveTo>
              <a:lnTo>
                <a:pt x="0" y="16"/>
              </a:lnTo>
              <a:lnTo>
                <a:pt x="170" y="16"/>
              </a:lnTo>
              <a:lnTo>
                <a:pt x="170" y="0"/>
              </a:lnTo>
            </a:path>
          </a:pathLst>
        </a:custGeom>
        <a:noFill/>
        <a:ln w="31750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12</xdr:col>
      <xdr:colOff>933450</xdr:colOff>
      <xdr:row>32</xdr:row>
      <xdr:rowOff>0</xdr:rowOff>
    </xdr:from>
    <xdr:ext cx="184731" cy="593304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E8DAE2C6-FD95-4535-9F70-0871FCD4444B}"/>
            </a:ext>
          </a:extLst>
        </xdr:cNvPr>
        <xdr:cNvSpPr txBox="1"/>
      </xdr:nvSpPr>
      <xdr:spPr>
        <a:xfrm>
          <a:off x="9986010" y="5844540"/>
          <a:ext cx="184731" cy="5933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IN" sz="3200" b="1"/>
        </a:p>
      </xdr:txBody>
    </xdr:sp>
    <xdr:clientData/>
  </xdr:oneCellAnchor>
  <xdr:twoCellAnchor>
    <xdr:from>
      <xdr:col>21</xdr:col>
      <xdr:colOff>35719</xdr:colOff>
      <xdr:row>7</xdr:row>
      <xdr:rowOff>35718</xdr:rowOff>
    </xdr:from>
    <xdr:to>
      <xdr:col>26</xdr:col>
      <xdr:colOff>261937</xdr:colOff>
      <xdr:row>26</xdr:row>
      <xdr:rowOff>59531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48B7DB70-8B01-4AE9-A583-C34CED4A59F8}"/>
            </a:ext>
          </a:extLst>
        </xdr:cNvPr>
        <xdr:cNvSpPr/>
      </xdr:nvSpPr>
      <xdr:spPr>
        <a:xfrm>
          <a:off x="15511939" y="1239678"/>
          <a:ext cx="3373278" cy="3056573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21</xdr:col>
      <xdr:colOff>547687</xdr:colOff>
      <xdr:row>22</xdr:row>
      <xdr:rowOff>95253</xdr:rowOff>
    </xdr:from>
    <xdr:to>
      <xdr:col>22</xdr:col>
      <xdr:colOff>285750</xdr:colOff>
      <xdr:row>24</xdr:row>
      <xdr:rowOff>11906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B437FC99-647E-4276-ADFA-22214D234DC1}"/>
            </a:ext>
          </a:extLst>
        </xdr:cNvPr>
        <xdr:cNvCxnSpPr/>
      </xdr:nvCxnSpPr>
      <xdr:spPr>
        <a:xfrm>
          <a:off x="16023907" y="3691893"/>
          <a:ext cx="446723" cy="236693"/>
        </a:xfrm>
        <a:prstGeom prst="line">
          <a:avLst/>
        </a:prstGeom>
        <a:ln w="222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511970</xdr:colOff>
      <xdr:row>9</xdr:row>
      <xdr:rowOff>23812</xdr:rowOff>
    </xdr:from>
    <xdr:to>
      <xdr:col>25</xdr:col>
      <xdr:colOff>452437</xdr:colOff>
      <xdr:row>24</xdr:row>
      <xdr:rowOff>23814</xdr:rowOff>
    </xdr:to>
    <xdr:grpSp>
      <xdr:nvGrpSpPr>
        <xdr:cNvPr id="6" name="Group 5">
          <a:extLst>
            <a:ext uri="{FF2B5EF4-FFF2-40B4-BE49-F238E27FC236}">
              <a16:creationId xmlns:a16="http://schemas.microsoft.com/office/drawing/2014/main" id="{1E8AD784-A78B-4E66-881A-0EA2CE64AE2A}"/>
            </a:ext>
          </a:extLst>
        </xdr:cNvPr>
        <xdr:cNvGrpSpPr/>
      </xdr:nvGrpSpPr>
      <xdr:grpSpPr>
        <a:xfrm>
          <a:off x="16296256" y="1591355"/>
          <a:ext cx="2476838" cy="2416630"/>
          <a:chOff x="14751845" y="1547814"/>
          <a:chExt cx="2440781" cy="2476500"/>
        </a:xfrm>
      </xdr:grpSpPr>
      <xdr:cxnSp macro="">
        <xdr:nvCxnSpPr>
          <xdr:cNvPr id="7" name="Straight Connector 6">
            <a:extLst>
              <a:ext uri="{FF2B5EF4-FFF2-40B4-BE49-F238E27FC236}">
                <a16:creationId xmlns:a16="http://schemas.microsoft.com/office/drawing/2014/main" id="{AC1B9669-1ECF-4AE2-9CF8-495283DE7C6D}"/>
              </a:ext>
            </a:extLst>
          </xdr:cNvPr>
          <xdr:cNvCxnSpPr/>
        </xdr:nvCxnSpPr>
        <xdr:spPr>
          <a:xfrm rot="16200000" flipH="1">
            <a:off x="13799344" y="2809875"/>
            <a:ext cx="1940719" cy="11906"/>
          </a:xfrm>
          <a:prstGeom prst="line">
            <a:avLst/>
          </a:prstGeom>
          <a:ln w="2222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" name="Straight Connector 7">
            <a:extLst>
              <a:ext uri="{FF2B5EF4-FFF2-40B4-BE49-F238E27FC236}">
                <a16:creationId xmlns:a16="http://schemas.microsoft.com/office/drawing/2014/main" id="{426C0DDA-DDA6-6BE9-9A40-0E5C04406892}"/>
              </a:ext>
            </a:extLst>
          </xdr:cNvPr>
          <xdr:cNvCxnSpPr/>
        </xdr:nvCxnSpPr>
        <xdr:spPr>
          <a:xfrm rot="16200000" flipH="1">
            <a:off x="16269892" y="2780111"/>
            <a:ext cx="1833564" cy="11901"/>
          </a:xfrm>
          <a:prstGeom prst="line">
            <a:avLst/>
          </a:prstGeom>
          <a:ln w="2222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9" name="Straight Connector 8">
            <a:extLst>
              <a:ext uri="{FF2B5EF4-FFF2-40B4-BE49-F238E27FC236}">
                <a16:creationId xmlns:a16="http://schemas.microsoft.com/office/drawing/2014/main" id="{EEFBF115-0FA1-BED6-08F0-F7C2CF107204}"/>
              </a:ext>
            </a:extLst>
          </xdr:cNvPr>
          <xdr:cNvCxnSpPr/>
        </xdr:nvCxnSpPr>
        <xdr:spPr>
          <a:xfrm rot="10800000" flipV="1">
            <a:off x="15192376" y="4012404"/>
            <a:ext cx="1643063" cy="1"/>
          </a:xfrm>
          <a:prstGeom prst="line">
            <a:avLst/>
          </a:prstGeom>
          <a:ln w="2222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" name="Straight Connector 9">
            <a:extLst>
              <a:ext uri="{FF2B5EF4-FFF2-40B4-BE49-F238E27FC236}">
                <a16:creationId xmlns:a16="http://schemas.microsoft.com/office/drawing/2014/main" id="{53970D3E-FEE8-7901-85EE-7920DC33F233}"/>
              </a:ext>
            </a:extLst>
          </xdr:cNvPr>
          <xdr:cNvCxnSpPr/>
        </xdr:nvCxnSpPr>
        <xdr:spPr>
          <a:xfrm>
            <a:off x="15001875" y="1571625"/>
            <a:ext cx="1928813" cy="1588"/>
          </a:xfrm>
          <a:prstGeom prst="line">
            <a:avLst/>
          </a:prstGeom>
          <a:ln w="2222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F0F7CE61-1F88-A922-957C-E790F76468EC}"/>
              </a:ext>
            </a:extLst>
          </xdr:cNvPr>
          <xdr:cNvCxnSpPr/>
        </xdr:nvCxnSpPr>
        <xdr:spPr>
          <a:xfrm rot="10800000" flipV="1">
            <a:off x="16823531" y="3714749"/>
            <a:ext cx="369094" cy="309565"/>
          </a:xfrm>
          <a:prstGeom prst="line">
            <a:avLst/>
          </a:prstGeom>
          <a:ln w="2222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D29B7012-8DE2-722E-88C2-FAC378A78576}"/>
              </a:ext>
            </a:extLst>
          </xdr:cNvPr>
          <xdr:cNvCxnSpPr/>
        </xdr:nvCxnSpPr>
        <xdr:spPr>
          <a:xfrm rot="16200000" flipH="1">
            <a:off x="16906876" y="1607345"/>
            <a:ext cx="297655" cy="273845"/>
          </a:xfrm>
          <a:prstGeom prst="line">
            <a:avLst/>
          </a:prstGeom>
          <a:ln w="2222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D764822F-3DC0-B8AC-18B7-F4842F5F3A58}"/>
              </a:ext>
            </a:extLst>
          </xdr:cNvPr>
          <xdr:cNvCxnSpPr/>
        </xdr:nvCxnSpPr>
        <xdr:spPr>
          <a:xfrm rot="5400000">
            <a:off x="14704222" y="1595437"/>
            <a:ext cx="381001" cy="285756"/>
          </a:xfrm>
          <a:prstGeom prst="line">
            <a:avLst/>
          </a:prstGeom>
          <a:ln w="2222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27</xdr:col>
      <xdr:colOff>0</xdr:colOff>
      <xdr:row>6</xdr:row>
      <xdr:rowOff>154781</xdr:rowOff>
    </xdr:from>
    <xdr:to>
      <xdr:col>27</xdr:col>
      <xdr:colOff>0</xdr:colOff>
      <xdr:row>26</xdr:row>
      <xdr:rowOff>35719</xdr:rowOff>
    </xdr:to>
    <xdr:cxnSp macro="">
      <xdr:nvCxnSpPr>
        <xdr:cNvPr id="14" name="Straight Arrow Connector 13">
          <a:extLst>
            <a:ext uri="{FF2B5EF4-FFF2-40B4-BE49-F238E27FC236}">
              <a16:creationId xmlns:a16="http://schemas.microsoft.com/office/drawing/2014/main" id="{82E36F5F-E332-438B-BC9E-45C6E2B74859}"/>
            </a:ext>
          </a:extLst>
        </xdr:cNvPr>
        <xdr:cNvCxnSpPr/>
      </xdr:nvCxnSpPr>
      <xdr:spPr>
        <a:xfrm rot="5400000">
          <a:off x="17684591" y="2724150"/>
          <a:ext cx="3096578" cy="0"/>
        </a:xfrm>
        <a:prstGeom prst="straightConnector1">
          <a:avLst/>
        </a:prstGeom>
        <a:ln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488158</xdr:colOff>
      <xdr:row>9</xdr:row>
      <xdr:rowOff>71435</xdr:rowOff>
    </xdr:from>
    <xdr:to>
      <xdr:col>23</xdr:col>
      <xdr:colOff>488158</xdr:colOff>
      <xdr:row>23</xdr:row>
      <xdr:rowOff>130970</xdr:rowOff>
    </xdr:to>
    <xdr:cxnSp macro="">
      <xdr:nvCxnSpPr>
        <xdr:cNvPr id="15" name="Straight Arrow Connector 14">
          <a:extLst>
            <a:ext uri="{FF2B5EF4-FFF2-40B4-BE49-F238E27FC236}">
              <a16:creationId xmlns:a16="http://schemas.microsoft.com/office/drawing/2014/main" id="{E0B497AE-2696-40AA-9702-58213391AA98}"/>
            </a:ext>
          </a:extLst>
        </xdr:cNvPr>
        <xdr:cNvCxnSpPr/>
      </xdr:nvCxnSpPr>
      <xdr:spPr>
        <a:xfrm rot="16200000" flipH="1">
          <a:off x="16147970" y="2752963"/>
          <a:ext cx="2269335" cy="0"/>
        </a:xfrm>
        <a:prstGeom prst="straightConnector1">
          <a:avLst/>
        </a:prstGeom>
        <a:ln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571500</xdr:colOff>
      <xdr:row>5</xdr:row>
      <xdr:rowOff>154779</xdr:rowOff>
    </xdr:from>
    <xdr:to>
      <xdr:col>26</xdr:col>
      <xdr:colOff>273843</xdr:colOff>
      <xdr:row>5</xdr:row>
      <xdr:rowOff>154780</xdr:rowOff>
    </xdr:to>
    <xdr:cxnSp macro="">
      <xdr:nvCxnSpPr>
        <xdr:cNvPr id="16" name="Straight Arrow Connector 15">
          <a:extLst>
            <a:ext uri="{FF2B5EF4-FFF2-40B4-BE49-F238E27FC236}">
              <a16:creationId xmlns:a16="http://schemas.microsoft.com/office/drawing/2014/main" id="{2732C7E6-FEAD-41F2-9EE6-F557ECBCAE82}"/>
            </a:ext>
          </a:extLst>
        </xdr:cNvPr>
        <xdr:cNvCxnSpPr/>
      </xdr:nvCxnSpPr>
      <xdr:spPr>
        <a:xfrm rot="10800000" flipV="1">
          <a:off x="15422880" y="985359"/>
          <a:ext cx="3474243" cy="1"/>
        </a:xfrm>
        <a:prstGeom prst="straightConnector1">
          <a:avLst/>
        </a:prstGeom>
        <a:ln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23814</xdr:colOff>
      <xdr:row>23</xdr:row>
      <xdr:rowOff>142875</xdr:rowOff>
    </xdr:from>
    <xdr:to>
      <xdr:col>24</xdr:col>
      <xdr:colOff>23814</xdr:colOff>
      <xdr:row>26</xdr:row>
      <xdr:rowOff>83344</xdr:rowOff>
    </xdr:to>
    <xdr:cxnSp macro="">
      <xdr:nvCxnSpPr>
        <xdr:cNvPr id="17" name="Straight Arrow Connector 16">
          <a:extLst>
            <a:ext uri="{FF2B5EF4-FFF2-40B4-BE49-F238E27FC236}">
              <a16:creationId xmlns:a16="http://schemas.microsoft.com/office/drawing/2014/main" id="{3863A382-4FAE-4AC7-ACE1-3AD495D1E6C7}"/>
            </a:ext>
          </a:extLst>
        </xdr:cNvPr>
        <xdr:cNvCxnSpPr/>
      </xdr:nvCxnSpPr>
      <xdr:spPr>
        <a:xfrm rot="5400000">
          <a:off x="17217629" y="4109800"/>
          <a:ext cx="420529" cy="0"/>
        </a:xfrm>
        <a:prstGeom prst="straightConnector1">
          <a:avLst/>
        </a:prstGeom>
        <a:ln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35720</xdr:colOff>
      <xdr:row>16</xdr:row>
      <xdr:rowOff>130969</xdr:rowOff>
    </xdr:from>
    <xdr:to>
      <xdr:col>21</xdr:col>
      <xdr:colOff>464345</xdr:colOff>
      <xdr:row>16</xdr:row>
      <xdr:rowOff>132557</xdr:rowOff>
    </xdr:to>
    <xdr:cxnSp macro="">
      <xdr:nvCxnSpPr>
        <xdr:cNvPr id="18" name="Straight Arrow Connector 17">
          <a:extLst>
            <a:ext uri="{FF2B5EF4-FFF2-40B4-BE49-F238E27FC236}">
              <a16:creationId xmlns:a16="http://schemas.microsoft.com/office/drawing/2014/main" id="{CFDA8524-1AC0-4075-9802-C172EB74A8D6}"/>
            </a:ext>
          </a:extLst>
        </xdr:cNvPr>
        <xdr:cNvCxnSpPr>
          <a:endCxn id="4" idx="1"/>
        </xdr:cNvCxnSpPr>
      </xdr:nvCxnSpPr>
      <xdr:spPr>
        <a:xfrm rot="10800000">
          <a:off x="15511940" y="2767489"/>
          <a:ext cx="428625" cy="1588"/>
        </a:xfrm>
        <a:prstGeom prst="straightConnector1">
          <a:avLst/>
        </a:prstGeom>
        <a:ln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571500</xdr:colOff>
      <xdr:row>13</xdr:row>
      <xdr:rowOff>27215</xdr:rowOff>
    </xdr:from>
    <xdr:to>
      <xdr:col>25</xdr:col>
      <xdr:colOff>381000</xdr:colOff>
      <xdr:row>13</xdr:row>
      <xdr:rowOff>27215</xdr:rowOff>
    </xdr:to>
    <xdr:cxnSp macro="">
      <xdr:nvCxnSpPr>
        <xdr:cNvPr id="19" name="Straight Arrow Connector 18">
          <a:extLst>
            <a:ext uri="{FF2B5EF4-FFF2-40B4-BE49-F238E27FC236}">
              <a16:creationId xmlns:a16="http://schemas.microsoft.com/office/drawing/2014/main" id="{90B8E5B0-AA76-46F9-AC49-47FA8257D3CC}"/>
            </a:ext>
          </a:extLst>
        </xdr:cNvPr>
        <xdr:cNvCxnSpPr/>
      </xdr:nvCxnSpPr>
      <xdr:spPr>
        <a:xfrm flipV="1">
          <a:off x="16047720" y="2214155"/>
          <a:ext cx="2346960" cy="0"/>
        </a:xfrm>
        <a:prstGeom prst="straightConnector1">
          <a:avLst/>
        </a:prstGeom>
        <a:ln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514350</xdr:colOff>
      <xdr:row>34</xdr:row>
      <xdr:rowOff>238125</xdr:rowOff>
    </xdr:from>
    <xdr:to>
      <xdr:col>3</xdr:col>
      <xdr:colOff>133350</xdr:colOff>
      <xdr:row>35</xdr:row>
      <xdr:rowOff>0</xdr:rowOff>
    </xdr:to>
    <xdr:sp macro="" textlink="">
      <xdr:nvSpPr>
        <xdr:cNvPr id="20" name="Freeform 19">
          <a:extLst>
            <a:ext uri="{FF2B5EF4-FFF2-40B4-BE49-F238E27FC236}">
              <a16:creationId xmlns:a16="http://schemas.microsoft.com/office/drawing/2014/main" id="{E6793DAF-87A6-4F6E-B263-A8241B1AADAE}"/>
            </a:ext>
          </a:extLst>
        </xdr:cNvPr>
        <xdr:cNvSpPr>
          <a:spLocks/>
        </xdr:cNvSpPr>
      </xdr:nvSpPr>
      <xdr:spPr bwMode="auto">
        <a:xfrm rot="10800000" flipV="1">
          <a:off x="1101090" y="8109585"/>
          <a:ext cx="1409700" cy="203835"/>
        </a:xfrm>
        <a:custGeom>
          <a:avLst/>
          <a:gdLst>
            <a:gd name="T0" fmla="*/ 0 w 170"/>
            <a:gd name="T1" fmla="*/ 2147483646 h 16"/>
            <a:gd name="T2" fmla="*/ 0 w 170"/>
            <a:gd name="T3" fmla="*/ 2147483646 h 16"/>
            <a:gd name="T4" fmla="*/ 2147483646 w 170"/>
            <a:gd name="T5" fmla="*/ 2147483646 h 16"/>
            <a:gd name="T6" fmla="*/ 2147483646 w 170"/>
            <a:gd name="T7" fmla="*/ 0 h 16"/>
            <a:gd name="T8" fmla="*/ 0 60000 65536"/>
            <a:gd name="T9" fmla="*/ 0 60000 65536"/>
            <a:gd name="T10" fmla="*/ 0 60000 65536"/>
            <a:gd name="T11" fmla="*/ 0 60000 65536"/>
            <a:gd name="T12" fmla="*/ 0 w 170"/>
            <a:gd name="T13" fmla="*/ 0 h 16"/>
            <a:gd name="T14" fmla="*/ 170 w 170"/>
            <a:gd name="T15" fmla="*/ 16 h 16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70" h="16">
              <a:moveTo>
                <a:pt x="0" y="1"/>
              </a:moveTo>
              <a:lnTo>
                <a:pt x="0" y="16"/>
              </a:lnTo>
              <a:lnTo>
                <a:pt x="170" y="16"/>
              </a:lnTo>
              <a:lnTo>
                <a:pt x="170" y="0"/>
              </a:lnTo>
            </a:path>
          </a:pathLst>
        </a:custGeom>
        <a:noFill/>
        <a:ln w="31750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12</xdr:col>
      <xdr:colOff>933450</xdr:colOff>
      <xdr:row>32</xdr:row>
      <xdr:rowOff>0</xdr:rowOff>
    </xdr:from>
    <xdr:ext cx="184731" cy="593304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CEB6AA22-316E-4EB2-B231-AAA723328DC9}"/>
            </a:ext>
          </a:extLst>
        </xdr:cNvPr>
        <xdr:cNvSpPr txBox="1"/>
      </xdr:nvSpPr>
      <xdr:spPr>
        <a:xfrm>
          <a:off x="9986010" y="5844540"/>
          <a:ext cx="184731" cy="5933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IN" sz="3200" b="1"/>
        </a:p>
      </xdr:txBody>
    </xdr:sp>
    <xdr:clientData/>
  </xdr:oneCellAnchor>
  <xdr:twoCellAnchor>
    <xdr:from>
      <xdr:col>21</xdr:col>
      <xdr:colOff>35719</xdr:colOff>
      <xdr:row>7</xdr:row>
      <xdr:rowOff>35718</xdr:rowOff>
    </xdr:from>
    <xdr:to>
      <xdr:col>26</xdr:col>
      <xdr:colOff>261937</xdr:colOff>
      <xdr:row>26</xdr:row>
      <xdr:rowOff>59531</xdr:rowOff>
    </xdr:to>
    <xdr:sp macro="" textlink="">
      <xdr:nvSpPr>
        <xdr:cNvPr id="26" name="Rectangle 25">
          <a:extLst>
            <a:ext uri="{FF2B5EF4-FFF2-40B4-BE49-F238E27FC236}">
              <a16:creationId xmlns:a16="http://schemas.microsoft.com/office/drawing/2014/main" id="{1C61CA25-B2DD-448E-80C2-BEE6CBAA5837}"/>
            </a:ext>
          </a:extLst>
        </xdr:cNvPr>
        <xdr:cNvSpPr/>
      </xdr:nvSpPr>
      <xdr:spPr>
        <a:xfrm>
          <a:off x="15511939" y="1239678"/>
          <a:ext cx="3373278" cy="3056573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21</xdr:col>
      <xdr:colOff>547687</xdr:colOff>
      <xdr:row>22</xdr:row>
      <xdr:rowOff>95253</xdr:rowOff>
    </xdr:from>
    <xdr:to>
      <xdr:col>22</xdr:col>
      <xdr:colOff>285750</xdr:colOff>
      <xdr:row>24</xdr:row>
      <xdr:rowOff>11906</xdr:rowOff>
    </xdr:to>
    <xdr:cxnSp macro="">
      <xdr:nvCxnSpPr>
        <xdr:cNvPr id="27" name="Straight Connector 26">
          <a:extLst>
            <a:ext uri="{FF2B5EF4-FFF2-40B4-BE49-F238E27FC236}">
              <a16:creationId xmlns:a16="http://schemas.microsoft.com/office/drawing/2014/main" id="{86A64BA9-1D08-45BD-B1FA-F0A276225CB4}"/>
            </a:ext>
          </a:extLst>
        </xdr:cNvPr>
        <xdr:cNvCxnSpPr/>
      </xdr:nvCxnSpPr>
      <xdr:spPr>
        <a:xfrm>
          <a:off x="16023907" y="3691893"/>
          <a:ext cx="446723" cy="236693"/>
        </a:xfrm>
        <a:prstGeom prst="line">
          <a:avLst/>
        </a:prstGeom>
        <a:ln w="222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511970</xdr:colOff>
      <xdr:row>9</xdr:row>
      <xdr:rowOff>23812</xdr:rowOff>
    </xdr:from>
    <xdr:to>
      <xdr:col>25</xdr:col>
      <xdr:colOff>452437</xdr:colOff>
      <xdr:row>24</xdr:row>
      <xdr:rowOff>23814</xdr:rowOff>
    </xdr:to>
    <xdr:grpSp>
      <xdr:nvGrpSpPr>
        <xdr:cNvPr id="28" name="Group 27">
          <a:extLst>
            <a:ext uri="{FF2B5EF4-FFF2-40B4-BE49-F238E27FC236}">
              <a16:creationId xmlns:a16="http://schemas.microsoft.com/office/drawing/2014/main" id="{0D4878DE-168A-4EB2-9A36-5A25DA3450D0}"/>
            </a:ext>
          </a:extLst>
        </xdr:cNvPr>
        <xdr:cNvGrpSpPr/>
      </xdr:nvGrpSpPr>
      <xdr:grpSpPr>
        <a:xfrm>
          <a:off x="16296256" y="1591355"/>
          <a:ext cx="2476838" cy="2416630"/>
          <a:chOff x="14751845" y="1547814"/>
          <a:chExt cx="2440781" cy="2476500"/>
        </a:xfrm>
      </xdr:grpSpPr>
      <xdr:cxnSp macro="">
        <xdr:nvCxnSpPr>
          <xdr:cNvPr id="29" name="Straight Connector 28">
            <a:extLst>
              <a:ext uri="{FF2B5EF4-FFF2-40B4-BE49-F238E27FC236}">
                <a16:creationId xmlns:a16="http://schemas.microsoft.com/office/drawing/2014/main" id="{0A756411-650B-0BBD-61A8-500F9E600C1E}"/>
              </a:ext>
            </a:extLst>
          </xdr:cNvPr>
          <xdr:cNvCxnSpPr/>
        </xdr:nvCxnSpPr>
        <xdr:spPr>
          <a:xfrm rot="16200000" flipH="1">
            <a:off x="13799344" y="2809875"/>
            <a:ext cx="1940719" cy="11906"/>
          </a:xfrm>
          <a:prstGeom prst="line">
            <a:avLst/>
          </a:prstGeom>
          <a:ln w="2222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0" name="Straight Connector 29">
            <a:extLst>
              <a:ext uri="{FF2B5EF4-FFF2-40B4-BE49-F238E27FC236}">
                <a16:creationId xmlns:a16="http://schemas.microsoft.com/office/drawing/2014/main" id="{C72F44A8-D5D5-11D5-52C2-1B822A82DC04}"/>
              </a:ext>
            </a:extLst>
          </xdr:cNvPr>
          <xdr:cNvCxnSpPr/>
        </xdr:nvCxnSpPr>
        <xdr:spPr>
          <a:xfrm rot="16200000" flipH="1">
            <a:off x="16269892" y="2780111"/>
            <a:ext cx="1833564" cy="11901"/>
          </a:xfrm>
          <a:prstGeom prst="line">
            <a:avLst/>
          </a:prstGeom>
          <a:ln w="2222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1" name="Straight Connector 30">
            <a:extLst>
              <a:ext uri="{FF2B5EF4-FFF2-40B4-BE49-F238E27FC236}">
                <a16:creationId xmlns:a16="http://schemas.microsoft.com/office/drawing/2014/main" id="{6534A5CB-F2A9-1DEE-BF00-C97C43FDA8F4}"/>
              </a:ext>
            </a:extLst>
          </xdr:cNvPr>
          <xdr:cNvCxnSpPr/>
        </xdr:nvCxnSpPr>
        <xdr:spPr>
          <a:xfrm rot="10800000" flipV="1">
            <a:off x="15192376" y="4012404"/>
            <a:ext cx="1643063" cy="1"/>
          </a:xfrm>
          <a:prstGeom prst="line">
            <a:avLst/>
          </a:prstGeom>
          <a:ln w="2222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2" name="Straight Connector 31">
            <a:extLst>
              <a:ext uri="{FF2B5EF4-FFF2-40B4-BE49-F238E27FC236}">
                <a16:creationId xmlns:a16="http://schemas.microsoft.com/office/drawing/2014/main" id="{E40B9374-16F6-274C-4DE4-9671498401A8}"/>
              </a:ext>
            </a:extLst>
          </xdr:cNvPr>
          <xdr:cNvCxnSpPr/>
        </xdr:nvCxnSpPr>
        <xdr:spPr>
          <a:xfrm>
            <a:off x="15001875" y="1571625"/>
            <a:ext cx="1928813" cy="1588"/>
          </a:xfrm>
          <a:prstGeom prst="line">
            <a:avLst/>
          </a:prstGeom>
          <a:ln w="2222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3" name="Straight Connector 32">
            <a:extLst>
              <a:ext uri="{FF2B5EF4-FFF2-40B4-BE49-F238E27FC236}">
                <a16:creationId xmlns:a16="http://schemas.microsoft.com/office/drawing/2014/main" id="{18AA1B26-8775-5439-7A80-F1EC874C72CB}"/>
              </a:ext>
            </a:extLst>
          </xdr:cNvPr>
          <xdr:cNvCxnSpPr/>
        </xdr:nvCxnSpPr>
        <xdr:spPr>
          <a:xfrm rot="10800000" flipV="1">
            <a:off x="16823531" y="3714749"/>
            <a:ext cx="369094" cy="309565"/>
          </a:xfrm>
          <a:prstGeom prst="line">
            <a:avLst/>
          </a:prstGeom>
          <a:ln w="2222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4" name="Straight Connector 33">
            <a:extLst>
              <a:ext uri="{FF2B5EF4-FFF2-40B4-BE49-F238E27FC236}">
                <a16:creationId xmlns:a16="http://schemas.microsoft.com/office/drawing/2014/main" id="{BB62C498-CE7A-7FC2-97CB-842251BF791A}"/>
              </a:ext>
            </a:extLst>
          </xdr:cNvPr>
          <xdr:cNvCxnSpPr/>
        </xdr:nvCxnSpPr>
        <xdr:spPr>
          <a:xfrm rot="16200000" flipH="1">
            <a:off x="16906876" y="1607345"/>
            <a:ext cx="297655" cy="273845"/>
          </a:xfrm>
          <a:prstGeom prst="line">
            <a:avLst/>
          </a:prstGeom>
          <a:ln w="2222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5" name="Straight Connector 34">
            <a:extLst>
              <a:ext uri="{FF2B5EF4-FFF2-40B4-BE49-F238E27FC236}">
                <a16:creationId xmlns:a16="http://schemas.microsoft.com/office/drawing/2014/main" id="{F41C9D74-D639-CBBC-FE73-E3F7B326E987}"/>
              </a:ext>
            </a:extLst>
          </xdr:cNvPr>
          <xdr:cNvCxnSpPr/>
        </xdr:nvCxnSpPr>
        <xdr:spPr>
          <a:xfrm rot="5400000">
            <a:off x="14704222" y="1595437"/>
            <a:ext cx="381001" cy="285756"/>
          </a:xfrm>
          <a:prstGeom prst="line">
            <a:avLst/>
          </a:prstGeom>
          <a:ln w="2222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20</xdr:col>
      <xdr:colOff>571500</xdr:colOff>
      <xdr:row>5</xdr:row>
      <xdr:rowOff>154779</xdr:rowOff>
    </xdr:from>
    <xdr:to>
      <xdr:col>26</xdr:col>
      <xdr:colOff>273843</xdr:colOff>
      <xdr:row>5</xdr:row>
      <xdr:rowOff>154780</xdr:rowOff>
    </xdr:to>
    <xdr:cxnSp macro="">
      <xdr:nvCxnSpPr>
        <xdr:cNvPr id="36" name="Straight Arrow Connector 35">
          <a:extLst>
            <a:ext uri="{FF2B5EF4-FFF2-40B4-BE49-F238E27FC236}">
              <a16:creationId xmlns:a16="http://schemas.microsoft.com/office/drawing/2014/main" id="{DA9B2968-EA39-4854-9DE7-809B05F7F60B}"/>
            </a:ext>
          </a:extLst>
        </xdr:cNvPr>
        <xdr:cNvCxnSpPr/>
      </xdr:nvCxnSpPr>
      <xdr:spPr>
        <a:xfrm rot="10800000" flipV="1">
          <a:off x="15422880" y="985359"/>
          <a:ext cx="3474243" cy="1"/>
        </a:xfrm>
        <a:prstGeom prst="straightConnector1">
          <a:avLst/>
        </a:prstGeom>
        <a:ln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536481</xdr:colOff>
      <xdr:row>7</xdr:row>
      <xdr:rowOff>31352</xdr:rowOff>
    </xdr:from>
    <xdr:to>
      <xdr:col>23</xdr:col>
      <xdr:colOff>536482</xdr:colOff>
      <xdr:row>9</xdr:row>
      <xdr:rowOff>49729</xdr:rowOff>
    </xdr:to>
    <xdr:cxnSp macro="">
      <xdr:nvCxnSpPr>
        <xdr:cNvPr id="37" name="Straight Arrow Connector 36">
          <a:extLst>
            <a:ext uri="{FF2B5EF4-FFF2-40B4-BE49-F238E27FC236}">
              <a16:creationId xmlns:a16="http://schemas.microsoft.com/office/drawing/2014/main" id="{4E94A87E-1203-4519-BF31-F0187E5B0028}"/>
            </a:ext>
          </a:extLst>
        </xdr:cNvPr>
        <xdr:cNvCxnSpPr/>
      </xdr:nvCxnSpPr>
      <xdr:spPr>
        <a:xfrm rot="16200000" flipH="1">
          <a:off x="17150323" y="1415950"/>
          <a:ext cx="361277" cy="1"/>
        </a:xfrm>
        <a:prstGeom prst="straightConnector1">
          <a:avLst/>
        </a:prstGeom>
        <a:ln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156575</xdr:colOff>
      <xdr:row>57</xdr:row>
      <xdr:rowOff>167217</xdr:rowOff>
    </xdr:from>
    <xdr:to>
      <xdr:col>2</xdr:col>
      <xdr:colOff>652397</xdr:colOff>
      <xdr:row>64</xdr:row>
      <xdr:rowOff>91339</xdr:rowOff>
    </xdr:to>
    <xdr:sp macro="" textlink="">
      <xdr:nvSpPr>
        <xdr:cNvPr id="38" name="Freeform 37">
          <a:extLst>
            <a:ext uri="{FF2B5EF4-FFF2-40B4-BE49-F238E27FC236}">
              <a16:creationId xmlns:a16="http://schemas.microsoft.com/office/drawing/2014/main" id="{82F548D1-6C84-4533-BC1F-8DEBB1407331}"/>
            </a:ext>
          </a:extLst>
        </xdr:cNvPr>
        <xdr:cNvSpPr>
          <a:spLocks/>
        </xdr:cNvSpPr>
      </xdr:nvSpPr>
      <xdr:spPr bwMode="auto">
        <a:xfrm rot="16200000" flipV="1">
          <a:off x="1147275" y="13547837"/>
          <a:ext cx="1150942" cy="495822"/>
        </a:xfrm>
        <a:custGeom>
          <a:avLst/>
          <a:gdLst>
            <a:gd name="T0" fmla="*/ 0 w 170"/>
            <a:gd name="T1" fmla="*/ 2147483646 h 16"/>
            <a:gd name="T2" fmla="*/ 0 w 170"/>
            <a:gd name="T3" fmla="*/ 2147483646 h 16"/>
            <a:gd name="T4" fmla="*/ 2147483646 w 170"/>
            <a:gd name="T5" fmla="*/ 2147483646 h 16"/>
            <a:gd name="T6" fmla="*/ 2147483646 w 170"/>
            <a:gd name="T7" fmla="*/ 0 h 16"/>
            <a:gd name="T8" fmla="*/ 0 60000 65536"/>
            <a:gd name="T9" fmla="*/ 0 60000 65536"/>
            <a:gd name="T10" fmla="*/ 0 60000 65536"/>
            <a:gd name="T11" fmla="*/ 0 60000 65536"/>
            <a:gd name="T12" fmla="*/ 0 w 170"/>
            <a:gd name="T13" fmla="*/ 0 h 16"/>
            <a:gd name="T14" fmla="*/ 170 w 170"/>
            <a:gd name="T15" fmla="*/ 16 h 16"/>
            <a:gd name="connsiteX0" fmla="*/ 0 w 170"/>
            <a:gd name="connsiteY0" fmla="*/ 0 h 46"/>
            <a:gd name="connsiteX1" fmla="*/ 0 w 170"/>
            <a:gd name="connsiteY1" fmla="*/ 46 h 46"/>
            <a:gd name="connsiteX2" fmla="*/ 170 w 170"/>
            <a:gd name="connsiteY2" fmla="*/ 46 h 46"/>
            <a:gd name="connsiteX3" fmla="*/ 170 w 170"/>
            <a:gd name="connsiteY3" fmla="*/ 30 h 46"/>
            <a:gd name="connsiteX0" fmla="*/ 0 w 170"/>
            <a:gd name="connsiteY0" fmla="*/ 0 h 46"/>
            <a:gd name="connsiteX1" fmla="*/ 0 w 170"/>
            <a:gd name="connsiteY1" fmla="*/ 46 h 46"/>
            <a:gd name="connsiteX2" fmla="*/ 170 w 170"/>
            <a:gd name="connsiteY2" fmla="*/ 46 h 46"/>
            <a:gd name="connsiteX3" fmla="*/ 170 w 170"/>
            <a:gd name="connsiteY3" fmla="*/ 18 h 46"/>
            <a:gd name="connsiteX0" fmla="*/ 0 w 170"/>
            <a:gd name="connsiteY0" fmla="*/ 0 h 46"/>
            <a:gd name="connsiteX1" fmla="*/ 0 w 170"/>
            <a:gd name="connsiteY1" fmla="*/ 46 h 46"/>
            <a:gd name="connsiteX2" fmla="*/ 170 w 170"/>
            <a:gd name="connsiteY2" fmla="*/ 46 h 46"/>
            <a:gd name="connsiteX3" fmla="*/ 170 w 170"/>
            <a:gd name="connsiteY3" fmla="*/ 1 h 46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170" h="46">
              <a:moveTo>
                <a:pt x="0" y="0"/>
              </a:moveTo>
              <a:lnTo>
                <a:pt x="0" y="46"/>
              </a:lnTo>
              <a:lnTo>
                <a:pt x="170" y="46"/>
              </a:lnTo>
              <a:lnTo>
                <a:pt x="170" y="1"/>
              </a:lnTo>
            </a:path>
          </a:pathLst>
        </a:custGeom>
        <a:noFill/>
        <a:ln w="31750">
          <a:solidFill>
            <a:srgbClr val="000000"/>
          </a:solidFill>
          <a:round/>
          <a:headEnd/>
          <a:tailEnd/>
        </a:ln>
      </xdr:spPr>
      <xdr:txBody>
        <a:bodyPr/>
        <a:lstStyle/>
        <a:p>
          <a:endParaRPr lang="en-IN"/>
        </a:p>
      </xdr:txBody>
    </xdr:sp>
    <xdr:clientData/>
  </xdr:twoCellAnchor>
  <xdr:twoCellAnchor>
    <xdr:from>
      <xdr:col>1</xdr:col>
      <xdr:colOff>524282</xdr:colOff>
      <xdr:row>91</xdr:row>
      <xdr:rowOff>212493</xdr:rowOff>
    </xdr:from>
    <xdr:to>
      <xdr:col>3</xdr:col>
      <xdr:colOff>200432</xdr:colOff>
      <xdr:row>92</xdr:row>
      <xdr:rowOff>117243</xdr:rowOff>
    </xdr:to>
    <xdr:sp macro="" textlink="">
      <xdr:nvSpPr>
        <xdr:cNvPr id="43" name="Freeform 43">
          <a:extLst>
            <a:ext uri="{FF2B5EF4-FFF2-40B4-BE49-F238E27FC236}">
              <a16:creationId xmlns:a16="http://schemas.microsoft.com/office/drawing/2014/main" id="{38E9AF02-DC47-408B-BE53-2EA4E5150866}"/>
            </a:ext>
          </a:extLst>
        </xdr:cNvPr>
        <xdr:cNvSpPr>
          <a:spLocks/>
        </xdr:cNvSpPr>
      </xdr:nvSpPr>
      <xdr:spPr bwMode="auto">
        <a:xfrm rot="10800000" flipV="1">
          <a:off x="1111022" y="17403213"/>
          <a:ext cx="1466850" cy="285750"/>
        </a:xfrm>
        <a:custGeom>
          <a:avLst/>
          <a:gdLst>
            <a:gd name="T0" fmla="*/ 0 w 170"/>
            <a:gd name="T1" fmla="*/ 2147483646 h 16"/>
            <a:gd name="T2" fmla="*/ 0 w 170"/>
            <a:gd name="T3" fmla="*/ 2147483646 h 16"/>
            <a:gd name="T4" fmla="*/ 2147483646 w 170"/>
            <a:gd name="T5" fmla="*/ 2147483646 h 16"/>
            <a:gd name="T6" fmla="*/ 2147483646 w 170"/>
            <a:gd name="T7" fmla="*/ 0 h 16"/>
            <a:gd name="T8" fmla="*/ 0 60000 65536"/>
            <a:gd name="T9" fmla="*/ 0 60000 65536"/>
            <a:gd name="T10" fmla="*/ 0 60000 65536"/>
            <a:gd name="T11" fmla="*/ 0 60000 65536"/>
            <a:gd name="T12" fmla="*/ 0 w 170"/>
            <a:gd name="T13" fmla="*/ 0 h 16"/>
            <a:gd name="T14" fmla="*/ 170 w 170"/>
            <a:gd name="T15" fmla="*/ 16 h 16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70" h="16">
              <a:moveTo>
                <a:pt x="0" y="1"/>
              </a:moveTo>
              <a:lnTo>
                <a:pt x="0" y="16"/>
              </a:lnTo>
              <a:lnTo>
                <a:pt x="170" y="16"/>
              </a:lnTo>
              <a:lnTo>
                <a:pt x="170" y="0"/>
              </a:lnTo>
            </a:path>
          </a:pathLst>
        </a:custGeom>
        <a:noFill/>
        <a:ln w="317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535488</xdr:colOff>
      <xdr:row>93</xdr:row>
      <xdr:rowOff>145258</xdr:rowOff>
    </xdr:from>
    <xdr:to>
      <xdr:col>3</xdr:col>
      <xdr:colOff>211638</xdr:colOff>
      <xdr:row>94</xdr:row>
      <xdr:rowOff>50008</xdr:rowOff>
    </xdr:to>
    <xdr:sp macro="" textlink="">
      <xdr:nvSpPr>
        <xdr:cNvPr id="44" name="Freeform 44">
          <a:extLst>
            <a:ext uri="{FF2B5EF4-FFF2-40B4-BE49-F238E27FC236}">
              <a16:creationId xmlns:a16="http://schemas.microsoft.com/office/drawing/2014/main" id="{F662E53A-69BA-41EC-9454-0C35F1E76134}"/>
            </a:ext>
          </a:extLst>
        </xdr:cNvPr>
        <xdr:cNvSpPr>
          <a:spLocks/>
        </xdr:cNvSpPr>
      </xdr:nvSpPr>
      <xdr:spPr bwMode="auto">
        <a:xfrm flipV="1">
          <a:off x="1122228" y="17960818"/>
          <a:ext cx="1466850" cy="285750"/>
        </a:xfrm>
        <a:custGeom>
          <a:avLst/>
          <a:gdLst>
            <a:gd name="T0" fmla="*/ 0 w 170"/>
            <a:gd name="T1" fmla="*/ 2147483646 h 16"/>
            <a:gd name="T2" fmla="*/ 0 w 170"/>
            <a:gd name="T3" fmla="*/ 2147483646 h 16"/>
            <a:gd name="T4" fmla="*/ 2147483646 w 170"/>
            <a:gd name="T5" fmla="*/ 2147483646 h 16"/>
            <a:gd name="T6" fmla="*/ 2147483646 w 170"/>
            <a:gd name="T7" fmla="*/ 0 h 16"/>
            <a:gd name="T8" fmla="*/ 0 60000 65536"/>
            <a:gd name="T9" fmla="*/ 0 60000 65536"/>
            <a:gd name="T10" fmla="*/ 0 60000 65536"/>
            <a:gd name="T11" fmla="*/ 0 60000 65536"/>
            <a:gd name="T12" fmla="*/ 0 w 170"/>
            <a:gd name="T13" fmla="*/ 0 h 16"/>
            <a:gd name="T14" fmla="*/ 170 w 170"/>
            <a:gd name="T15" fmla="*/ 16 h 16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70" h="16">
              <a:moveTo>
                <a:pt x="0" y="1"/>
              </a:moveTo>
              <a:lnTo>
                <a:pt x="0" y="16"/>
              </a:lnTo>
              <a:lnTo>
                <a:pt x="170" y="16"/>
              </a:lnTo>
              <a:lnTo>
                <a:pt x="170" y="0"/>
              </a:lnTo>
            </a:path>
          </a:pathLst>
        </a:custGeom>
        <a:noFill/>
        <a:ln w="31750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12</xdr:col>
      <xdr:colOff>933450</xdr:colOff>
      <xdr:row>32</xdr:row>
      <xdr:rowOff>0</xdr:rowOff>
    </xdr:from>
    <xdr:ext cx="184731" cy="593304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84EFAEC4-4564-4C6A-A1D5-F7B8F6CABFEE}"/>
            </a:ext>
          </a:extLst>
        </xdr:cNvPr>
        <xdr:cNvSpPr txBox="1"/>
      </xdr:nvSpPr>
      <xdr:spPr>
        <a:xfrm>
          <a:off x="9986010" y="5844540"/>
          <a:ext cx="184731" cy="5933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IN" sz="3200" b="1"/>
        </a:p>
      </xdr:txBody>
    </xdr:sp>
    <xdr:clientData/>
  </xdr:oneCellAnchor>
  <xdr:oneCellAnchor>
    <xdr:from>
      <xdr:col>12</xdr:col>
      <xdr:colOff>933450</xdr:colOff>
      <xdr:row>32</xdr:row>
      <xdr:rowOff>0</xdr:rowOff>
    </xdr:from>
    <xdr:ext cx="184731" cy="593304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AB33091A-943E-4D1A-A351-65C96D8B60AA}"/>
            </a:ext>
          </a:extLst>
        </xdr:cNvPr>
        <xdr:cNvSpPr txBox="1"/>
      </xdr:nvSpPr>
      <xdr:spPr>
        <a:xfrm>
          <a:off x="9986010" y="5844540"/>
          <a:ext cx="184731" cy="59330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IN" sz="3200" b="1"/>
        </a:p>
      </xdr:txBody>
    </xdr:sp>
    <xdr:clientData/>
  </xdr:oneCellAnchor>
  <xdr:twoCellAnchor>
    <xdr:from>
      <xdr:col>1</xdr:col>
      <xdr:colOff>574632</xdr:colOff>
      <xdr:row>36</xdr:row>
      <xdr:rowOff>132210</xdr:rowOff>
    </xdr:from>
    <xdr:to>
      <xdr:col>3</xdr:col>
      <xdr:colOff>250782</xdr:colOff>
      <xdr:row>37</xdr:row>
      <xdr:rowOff>36960</xdr:rowOff>
    </xdr:to>
    <xdr:sp macro="" textlink="">
      <xdr:nvSpPr>
        <xdr:cNvPr id="48" name="Freeform 42">
          <a:extLst>
            <a:ext uri="{FF2B5EF4-FFF2-40B4-BE49-F238E27FC236}">
              <a16:creationId xmlns:a16="http://schemas.microsoft.com/office/drawing/2014/main" id="{D91B9D4F-32D4-40C2-89A6-D2546BAD1176}"/>
            </a:ext>
          </a:extLst>
        </xdr:cNvPr>
        <xdr:cNvSpPr>
          <a:spLocks/>
        </xdr:cNvSpPr>
      </xdr:nvSpPr>
      <xdr:spPr bwMode="auto">
        <a:xfrm flipV="1">
          <a:off x="1161372" y="8658990"/>
          <a:ext cx="1466850" cy="285750"/>
        </a:xfrm>
        <a:custGeom>
          <a:avLst/>
          <a:gdLst>
            <a:gd name="T0" fmla="*/ 0 w 170"/>
            <a:gd name="T1" fmla="*/ 2147483646 h 16"/>
            <a:gd name="T2" fmla="*/ 0 w 170"/>
            <a:gd name="T3" fmla="*/ 2147483646 h 16"/>
            <a:gd name="T4" fmla="*/ 2147483646 w 170"/>
            <a:gd name="T5" fmla="*/ 2147483646 h 16"/>
            <a:gd name="T6" fmla="*/ 2147483646 w 170"/>
            <a:gd name="T7" fmla="*/ 0 h 16"/>
            <a:gd name="T8" fmla="*/ 0 60000 65536"/>
            <a:gd name="T9" fmla="*/ 0 60000 65536"/>
            <a:gd name="T10" fmla="*/ 0 60000 65536"/>
            <a:gd name="T11" fmla="*/ 0 60000 65536"/>
            <a:gd name="T12" fmla="*/ 0 w 170"/>
            <a:gd name="T13" fmla="*/ 0 h 16"/>
            <a:gd name="T14" fmla="*/ 170 w 170"/>
            <a:gd name="T15" fmla="*/ 16 h 16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170" h="16">
              <a:moveTo>
                <a:pt x="0" y="1"/>
              </a:moveTo>
              <a:lnTo>
                <a:pt x="0" y="16"/>
              </a:lnTo>
              <a:lnTo>
                <a:pt x="170" y="16"/>
              </a:lnTo>
              <a:lnTo>
                <a:pt x="170" y="0"/>
              </a:lnTo>
            </a:path>
          </a:pathLst>
        </a:custGeom>
        <a:noFill/>
        <a:ln w="317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544285</xdr:colOff>
      <xdr:row>49</xdr:row>
      <xdr:rowOff>10885</xdr:rowOff>
    </xdr:from>
    <xdr:to>
      <xdr:col>3</xdr:col>
      <xdr:colOff>21771</xdr:colOff>
      <xdr:row>49</xdr:row>
      <xdr:rowOff>10886</xdr:rowOff>
    </xdr:to>
    <xdr:cxnSp macro="">
      <xdr:nvCxnSpPr>
        <xdr:cNvPr id="49" name="Straight Connector 48">
          <a:extLst>
            <a:ext uri="{FF2B5EF4-FFF2-40B4-BE49-F238E27FC236}">
              <a16:creationId xmlns:a16="http://schemas.microsoft.com/office/drawing/2014/main" id="{9A84CFC6-BD6B-4CCD-A37C-34EE05DBEF57}"/>
            </a:ext>
          </a:extLst>
        </xdr:cNvPr>
        <xdr:cNvCxnSpPr/>
      </xdr:nvCxnSpPr>
      <xdr:spPr>
        <a:xfrm>
          <a:off x="1131025" y="12820105"/>
          <a:ext cx="1268186" cy="1"/>
        </a:xfrm>
        <a:prstGeom prst="line">
          <a:avLst/>
        </a:prstGeom>
        <a:ln w="31750">
          <a:solidFill>
            <a:schemeClr val="tx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</xdr:cxnSp>
    <xdr:clientData/>
  </xdr:twoCellAnchor>
  <xdr:twoCellAnchor>
    <xdr:from>
      <xdr:col>1</xdr:col>
      <xdr:colOff>555171</xdr:colOff>
      <xdr:row>43</xdr:row>
      <xdr:rowOff>21772</xdr:rowOff>
    </xdr:from>
    <xdr:to>
      <xdr:col>1</xdr:col>
      <xdr:colOff>566056</xdr:colOff>
      <xdr:row>49</xdr:row>
      <xdr:rowOff>10885</xdr:rowOff>
    </xdr:to>
    <xdr:cxnSp macro="">
      <xdr:nvCxnSpPr>
        <xdr:cNvPr id="50" name="Straight Connector 49">
          <a:extLst>
            <a:ext uri="{FF2B5EF4-FFF2-40B4-BE49-F238E27FC236}">
              <a16:creationId xmlns:a16="http://schemas.microsoft.com/office/drawing/2014/main" id="{BDADA8A8-5F48-4657-A1A5-4D162FB23E26}"/>
            </a:ext>
          </a:extLst>
        </xdr:cNvPr>
        <xdr:cNvCxnSpPr/>
      </xdr:nvCxnSpPr>
      <xdr:spPr>
        <a:xfrm flipH="1" flipV="1">
          <a:off x="1141911" y="11367952"/>
          <a:ext cx="10885" cy="1452153"/>
        </a:xfrm>
        <a:prstGeom prst="line">
          <a:avLst/>
        </a:prstGeom>
        <a:ln w="31750">
          <a:solidFill>
            <a:schemeClr val="tx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</xdr:cxnSp>
    <xdr:clientData/>
  </xdr:twoCellAnchor>
  <xdr:twoCellAnchor>
    <xdr:from>
      <xdr:col>1</xdr:col>
      <xdr:colOff>555171</xdr:colOff>
      <xdr:row>98</xdr:row>
      <xdr:rowOff>1588</xdr:rowOff>
    </xdr:from>
    <xdr:to>
      <xdr:col>3</xdr:col>
      <xdr:colOff>416192</xdr:colOff>
      <xdr:row>98</xdr:row>
      <xdr:rowOff>10886</xdr:rowOff>
    </xdr:to>
    <xdr:cxnSp macro="">
      <xdr:nvCxnSpPr>
        <xdr:cNvPr id="51" name="Straight Connector 50">
          <a:extLst>
            <a:ext uri="{FF2B5EF4-FFF2-40B4-BE49-F238E27FC236}">
              <a16:creationId xmlns:a16="http://schemas.microsoft.com/office/drawing/2014/main" id="{40EEA13E-D49A-4721-AC5D-2CA639249BF4}"/>
            </a:ext>
          </a:extLst>
        </xdr:cNvPr>
        <xdr:cNvCxnSpPr/>
      </xdr:nvCxnSpPr>
      <xdr:spPr>
        <a:xfrm flipV="1">
          <a:off x="1141911" y="21596668"/>
          <a:ext cx="1651721" cy="9298"/>
        </a:xfrm>
        <a:prstGeom prst="line">
          <a:avLst/>
        </a:prstGeom>
        <a:ln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425824</xdr:colOff>
      <xdr:row>65</xdr:row>
      <xdr:rowOff>168088</xdr:rowOff>
    </xdr:from>
    <xdr:to>
      <xdr:col>2</xdr:col>
      <xdr:colOff>974911</xdr:colOff>
      <xdr:row>69</xdr:row>
      <xdr:rowOff>57592</xdr:rowOff>
    </xdr:to>
    <xdr:grpSp>
      <xdr:nvGrpSpPr>
        <xdr:cNvPr id="54" name="Group 53">
          <a:extLst>
            <a:ext uri="{FF2B5EF4-FFF2-40B4-BE49-F238E27FC236}">
              <a16:creationId xmlns:a16="http://schemas.microsoft.com/office/drawing/2014/main" id="{B750FDCD-0756-4FDB-835D-F69473E66443}"/>
            </a:ext>
          </a:extLst>
        </xdr:cNvPr>
        <xdr:cNvGrpSpPr/>
      </xdr:nvGrpSpPr>
      <xdr:grpSpPr>
        <a:xfrm>
          <a:off x="1742995" y="12893488"/>
          <a:ext cx="549087" cy="978075"/>
          <a:chOff x="1005848" y="11457213"/>
          <a:chExt cx="569800" cy="1024084"/>
        </a:xfrm>
      </xdr:grpSpPr>
      <xdr:cxnSp macro="">
        <xdr:nvCxnSpPr>
          <xdr:cNvPr id="55" name="Straight Connector 54">
            <a:extLst>
              <a:ext uri="{FF2B5EF4-FFF2-40B4-BE49-F238E27FC236}">
                <a16:creationId xmlns:a16="http://schemas.microsoft.com/office/drawing/2014/main" id="{B40EA49E-72DD-0803-291A-91266537F758}"/>
              </a:ext>
            </a:extLst>
          </xdr:cNvPr>
          <xdr:cNvCxnSpPr/>
        </xdr:nvCxnSpPr>
        <xdr:spPr>
          <a:xfrm>
            <a:off x="1028782" y="11457213"/>
            <a:ext cx="284899" cy="0"/>
          </a:xfrm>
          <a:prstGeom prst="line">
            <a:avLst/>
          </a:prstGeom>
          <a:ln w="31750"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56" name="Straight Connector 55">
            <a:extLst>
              <a:ext uri="{FF2B5EF4-FFF2-40B4-BE49-F238E27FC236}">
                <a16:creationId xmlns:a16="http://schemas.microsoft.com/office/drawing/2014/main" id="{1A83A437-6A8A-30F9-CD21-B05953B08A06}"/>
              </a:ext>
            </a:extLst>
          </xdr:cNvPr>
          <xdr:cNvCxnSpPr/>
        </xdr:nvCxnSpPr>
        <xdr:spPr>
          <a:xfrm flipH="1">
            <a:off x="1306286" y="11457214"/>
            <a:ext cx="0" cy="1005840"/>
          </a:xfrm>
          <a:prstGeom prst="line">
            <a:avLst/>
          </a:prstGeom>
          <a:ln w="31750"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57" name="Straight Connector 56">
            <a:extLst>
              <a:ext uri="{FF2B5EF4-FFF2-40B4-BE49-F238E27FC236}">
                <a16:creationId xmlns:a16="http://schemas.microsoft.com/office/drawing/2014/main" id="{7CBE8976-338F-F9A8-6DF3-CE9519E284AD}"/>
              </a:ext>
            </a:extLst>
          </xdr:cNvPr>
          <xdr:cNvCxnSpPr/>
        </xdr:nvCxnSpPr>
        <xdr:spPr>
          <a:xfrm>
            <a:off x="1288766" y="12464200"/>
            <a:ext cx="284898" cy="0"/>
          </a:xfrm>
          <a:prstGeom prst="line">
            <a:avLst/>
          </a:prstGeom>
          <a:ln w="31750"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58" name="Straight Connector 57">
            <a:extLst>
              <a:ext uri="{FF2B5EF4-FFF2-40B4-BE49-F238E27FC236}">
                <a16:creationId xmlns:a16="http://schemas.microsoft.com/office/drawing/2014/main" id="{C9DF2CCA-D8F1-DE27-71E5-A026A17FA00F}"/>
              </a:ext>
            </a:extLst>
          </xdr:cNvPr>
          <xdr:cNvCxnSpPr/>
        </xdr:nvCxnSpPr>
        <xdr:spPr>
          <a:xfrm>
            <a:off x="1005848" y="12194847"/>
            <a:ext cx="569800" cy="0"/>
          </a:xfrm>
          <a:prstGeom prst="line">
            <a:avLst/>
          </a:prstGeom>
          <a:ln w="31750"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59" name="Straight Connector 58">
            <a:extLst>
              <a:ext uri="{FF2B5EF4-FFF2-40B4-BE49-F238E27FC236}">
                <a16:creationId xmlns:a16="http://schemas.microsoft.com/office/drawing/2014/main" id="{799583DE-DA6F-B68C-634C-101662AE65A2}"/>
              </a:ext>
            </a:extLst>
          </xdr:cNvPr>
          <xdr:cNvCxnSpPr/>
        </xdr:nvCxnSpPr>
        <xdr:spPr>
          <a:xfrm flipH="1">
            <a:off x="1573984" y="12185931"/>
            <a:ext cx="0" cy="295366"/>
          </a:xfrm>
          <a:prstGeom prst="line">
            <a:avLst/>
          </a:prstGeom>
          <a:ln w="31750"/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469726</xdr:colOff>
      <xdr:row>72</xdr:row>
      <xdr:rowOff>13048</xdr:rowOff>
    </xdr:from>
    <xdr:to>
      <xdr:col>3</xdr:col>
      <xdr:colOff>156576</xdr:colOff>
      <xdr:row>72</xdr:row>
      <xdr:rowOff>14636</xdr:rowOff>
    </xdr:to>
    <xdr:cxnSp macro="">
      <xdr:nvCxnSpPr>
        <xdr:cNvPr id="60" name="Straight Connector 59">
          <a:extLst>
            <a:ext uri="{FF2B5EF4-FFF2-40B4-BE49-F238E27FC236}">
              <a16:creationId xmlns:a16="http://schemas.microsoft.com/office/drawing/2014/main" id="{89C0D4E2-BA74-40FD-BDAF-118655CB6494}"/>
            </a:ext>
          </a:extLst>
        </xdr:cNvPr>
        <xdr:cNvCxnSpPr/>
      </xdr:nvCxnSpPr>
      <xdr:spPr>
        <a:xfrm>
          <a:off x="1056466" y="16853248"/>
          <a:ext cx="1477550" cy="1588"/>
        </a:xfrm>
        <a:prstGeom prst="line">
          <a:avLst/>
        </a:prstGeom>
        <a:ln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469726</xdr:colOff>
      <xdr:row>40</xdr:row>
      <xdr:rowOff>13048</xdr:rowOff>
    </xdr:from>
    <xdr:to>
      <xdr:col>3</xdr:col>
      <xdr:colOff>156576</xdr:colOff>
      <xdr:row>40</xdr:row>
      <xdr:rowOff>14636</xdr:rowOff>
    </xdr:to>
    <xdr:cxnSp macro="">
      <xdr:nvCxnSpPr>
        <xdr:cNvPr id="61" name="Straight Connector 60">
          <a:extLst>
            <a:ext uri="{FF2B5EF4-FFF2-40B4-BE49-F238E27FC236}">
              <a16:creationId xmlns:a16="http://schemas.microsoft.com/office/drawing/2014/main" id="{FA0E3889-759E-4D50-92A6-FA86E06D596F}"/>
            </a:ext>
          </a:extLst>
        </xdr:cNvPr>
        <xdr:cNvCxnSpPr/>
      </xdr:nvCxnSpPr>
      <xdr:spPr>
        <a:xfrm>
          <a:off x="1057555" y="16189219"/>
          <a:ext cx="1472107" cy="1588"/>
        </a:xfrm>
        <a:prstGeom prst="line">
          <a:avLst/>
        </a:prstGeom>
        <a:ln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626409</xdr:colOff>
      <xdr:row>51</xdr:row>
      <xdr:rowOff>22412</xdr:rowOff>
    </xdr:from>
    <xdr:to>
      <xdr:col>2</xdr:col>
      <xdr:colOff>769284</xdr:colOff>
      <xdr:row>56</xdr:row>
      <xdr:rowOff>22412</xdr:rowOff>
    </xdr:to>
    <xdr:grpSp>
      <xdr:nvGrpSpPr>
        <xdr:cNvPr id="62" name="Group 50">
          <a:extLst>
            <a:ext uri="{FF2B5EF4-FFF2-40B4-BE49-F238E27FC236}">
              <a16:creationId xmlns:a16="http://schemas.microsoft.com/office/drawing/2014/main" id="{51DA4B98-C990-4D0D-8938-A41D7B552F1F}"/>
            </a:ext>
          </a:extLst>
        </xdr:cNvPr>
        <xdr:cNvGrpSpPr>
          <a:grpSpLocks/>
        </xdr:cNvGrpSpPr>
      </xdr:nvGrpSpPr>
      <xdr:grpSpPr bwMode="auto">
        <a:xfrm>
          <a:off x="1214238" y="10309412"/>
          <a:ext cx="872217" cy="870857"/>
          <a:chOff x="1043643" y="11351315"/>
          <a:chExt cx="720138" cy="949567"/>
        </a:xfrm>
      </xdr:grpSpPr>
      <xdr:sp macro="" textlink="">
        <xdr:nvSpPr>
          <xdr:cNvPr id="63" name="Line 98">
            <a:extLst>
              <a:ext uri="{FF2B5EF4-FFF2-40B4-BE49-F238E27FC236}">
                <a16:creationId xmlns:a16="http://schemas.microsoft.com/office/drawing/2014/main" id="{C33323A9-B2CD-28B8-1008-5C5BC546742A}"/>
              </a:ext>
            </a:extLst>
          </xdr:cNvPr>
          <xdr:cNvSpPr>
            <a:spLocks noChangeShapeType="1"/>
          </xdr:cNvSpPr>
        </xdr:nvSpPr>
        <xdr:spPr bwMode="auto">
          <a:xfrm flipH="1">
            <a:off x="1044437" y="11351315"/>
            <a:ext cx="508552" cy="764071"/>
          </a:xfrm>
          <a:prstGeom prst="line">
            <a:avLst/>
          </a:prstGeom>
          <a:noFill/>
          <a:ln w="317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" name="Line 99">
            <a:extLst>
              <a:ext uri="{FF2B5EF4-FFF2-40B4-BE49-F238E27FC236}">
                <a16:creationId xmlns:a16="http://schemas.microsoft.com/office/drawing/2014/main" id="{644F6916-7E3C-3304-6C5B-84ED730C0845}"/>
              </a:ext>
            </a:extLst>
          </xdr:cNvPr>
          <xdr:cNvSpPr>
            <a:spLocks noChangeShapeType="1"/>
          </xdr:cNvSpPr>
        </xdr:nvSpPr>
        <xdr:spPr bwMode="auto">
          <a:xfrm>
            <a:off x="1554231" y="11351315"/>
            <a:ext cx="209550" cy="0"/>
          </a:xfrm>
          <a:prstGeom prst="line">
            <a:avLst/>
          </a:prstGeom>
          <a:noFill/>
          <a:ln w="31750">
            <a:solidFill>
              <a:srgbClr val="000000"/>
            </a:solidFill>
            <a:round/>
            <a:headEnd/>
            <a:tailEnd/>
          </a:ln>
        </xdr:spPr>
      </xdr:sp>
      <xdr:cxnSp macro="">
        <xdr:nvCxnSpPr>
          <xdr:cNvPr id="65" name="Straight Connector 16">
            <a:extLst>
              <a:ext uri="{FF2B5EF4-FFF2-40B4-BE49-F238E27FC236}">
                <a16:creationId xmlns:a16="http://schemas.microsoft.com/office/drawing/2014/main" id="{300E68FF-2D45-4315-F590-10976745783E}"/>
              </a:ext>
            </a:extLst>
          </xdr:cNvPr>
          <xdr:cNvCxnSpPr>
            <a:cxnSpLocks noChangeShapeType="1"/>
            <a:stCxn id="63" idx="1"/>
          </xdr:cNvCxnSpPr>
        </xdr:nvCxnSpPr>
        <xdr:spPr bwMode="auto">
          <a:xfrm rot="16200000" flipH="1">
            <a:off x="950382" y="12207621"/>
            <a:ext cx="186522" cy="0"/>
          </a:xfrm>
          <a:prstGeom prst="line">
            <a:avLst/>
          </a:prstGeom>
          <a:noFill/>
          <a:ln w="31750">
            <a:solidFill>
              <a:srgbClr val="000000"/>
            </a:solidFill>
            <a:round/>
            <a:headEnd/>
            <a:tailEnd/>
          </a:ln>
        </xdr:spPr>
      </xdr:cxnSp>
    </xdr:grpSp>
    <xdr:clientData/>
  </xdr:twoCellAnchor>
  <xdr:twoCellAnchor>
    <xdr:from>
      <xdr:col>1</xdr:col>
      <xdr:colOff>704850</xdr:colOff>
      <xdr:row>75</xdr:row>
      <xdr:rowOff>0</xdr:rowOff>
    </xdr:from>
    <xdr:to>
      <xdr:col>2</xdr:col>
      <xdr:colOff>847725</xdr:colOff>
      <xdr:row>80</xdr:row>
      <xdr:rowOff>0</xdr:rowOff>
    </xdr:to>
    <xdr:grpSp>
      <xdr:nvGrpSpPr>
        <xdr:cNvPr id="66" name="Group 50">
          <a:extLst>
            <a:ext uri="{FF2B5EF4-FFF2-40B4-BE49-F238E27FC236}">
              <a16:creationId xmlns:a16="http://schemas.microsoft.com/office/drawing/2014/main" id="{EFA0D69A-93C7-48A3-92AC-79E8B400AAB5}"/>
            </a:ext>
          </a:extLst>
        </xdr:cNvPr>
        <xdr:cNvGrpSpPr>
          <a:grpSpLocks/>
        </xdr:cNvGrpSpPr>
      </xdr:nvGrpSpPr>
      <xdr:grpSpPr bwMode="auto">
        <a:xfrm>
          <a:off x="1292679" y="14956971"/>
          <a:ext cx="872217" cy="870858"/>
          <a:chOff x="1043643" y="11351315"/>
          <a:chExt cx="720138" cy="949567"/>
        </a:xfrm>
      </xdr:grpSpPr>
      <xdr:sp macro="" textlink="">
        <xdr:nvSpPr>
          <xdr:cNvPr id="67" name="Line 98">
            <a:extLst>
              <a:ext uri="{FF2B5EF4-FFF2-40B4-BE49-F238E27FC236}">
                <a16:creationId xmlns:a16="http://schemas.microsoft.com/office/drawing/2014/main" id="{BE807645-DEF0-550E-055F-7A043A51CC5D}"/>
              </a:ext>
            </a:extLst>
          </xdr:cNvPr>
          <xdr:cNvSpPr>
            <a:spLocks noChangeShapeType="1"/>
          </xdr:cNvSpPr>
        </xdr:nvSpPr>
        <xdr:spPr bwMode="auto">
          <a:xfrm flipH="1">
            <a:off x="1044437" y="11351315"/>
            <a:ext cx="508552" cy="764071"/>
          </a:xfrm>
          <a:prstGeom prst="line">
            <a:avLst/>
          </a:prstGeom>
          <a:noFill/>
          <a:ln w="317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" name="Line 99">
            <a:extLst>
              <a:ext uri="{FF2B5EF4-FFF2-40B4-BE49-F238E27FC236}">
                <a16:creationId xmlns:a16="http://schemas.microsoft.com/office/drawing/2014/main" id="{1351196A-1B9D-19F8-E25B-50C3E830B2D9}"/>
              </a:ext>
            </a:extLst>
          </xdr:cNvPr>
          <xdr:cNvSpPr>
            <a:spLocks noChangeShapeType="1"/>
          </xdr:cNvSpPr>
        </xdr:nvSpPr>
        <xdr:spPr bwMode="auto">
          <a:xfrm>
            <a:off x="1554231" y="11351315"/>
            <a:ext cx="209550" cy="0"/>
          </a:xfrm>
          <a:prstGeom prst="line">
            <a:avLst/>
          </a:prstGeom>
          <a:noFill/>
          <a:ln w="31750">
            <a:solidFill>
              <a:srgbClr val="000000"/>
            </a:solidFill>
            <a:round/>
            <a:headEnd/>
            <a:tailEnd/>
          </a:ln>
        </xdr:spPr>
      </xdr:sp>
      <xdr:cxnSp macro="">
        <xdr:nvCxnSpPr>
          <xdr:cNvPr id="69" name="Straight Connector 16">
            <a:extLst>
              <a:ext uri="{FF2B5EF4-FFF2-40B4-BE49-F238E27FC236}">
                <a16:creationId xmlns:a16="http://schemas.microsoft.com/office/drawing/2014/main" id="{45B018B9-7B7E-CB55-F1F9-505161C399E0}"/>
              </a:ext>
            </a:extLst>
          </xdr:cNvPr>
          <xdr:cNvCxnSpPr>
            <a:cxnSpLocks noChangeShapeType="1"/>
            <a:stCxn id="67" idx="1"/>
          </xdr:cNvCxnSpPr>
        </xdr:nvCxnSpPr>
        <xdr:spPr bwMode="auto">
          <a:xfrm rot="16200000" flipH="1">
            <a:off x="950382" y="12207621"/>
            <a:ext cx="186522" cy="0"/>
          </a:xfrm>
          <a:prstGeom prst="line">
            <a:avLst/>
          </a:prstGeom>
          <a:noFill/>
          <a:ln w="31750">
            <a:solidFill>
              <a:srgbClr val="000000"/>
            </a:solidFill>
            <a:round/>
            <a:headEnd/>
            <a:tailEnd/>
          </a:ln>
        </xdr:spPr>
      </xdr:cxnSp>
    </xdr:grpSp>
    <xdr:clientData/>
  </xdr:twoCellAnchor>
  <xdr:twoCellAnchor>
    <xdr:from>
      <xdr:col>1</xdr:col>
      <xdr:colOff>544285</xdr:colOff>
      <xdr:row>89</xdr:row>
      <xdr:rowOff>10885</xdr:rowOff>
    </xdr:from>
    <xdr:to>
      <xdr:col>3</xdr:col>
      <xdr:colOff>21771</xdr:colOff>
      <xdr:row>89</xdr:row>
      <xdr:rowOff>10886</xdr:rowOff>
    </xdr:to>
    <xdr:cxnSp macro="">
      <xdr:nvCxnSpPr>
        <xdr:cNvPr id="70" name="Straight Connector 69">
          <a:extLst>
            <a:ext uri="{FF2B5EF4-FFF2-40B4-BE49-F238E27FC236}">
              <a16:creationId xmlns:a16="http://schemas.microsoft.com/office/drawing/2014/main" id="{2C008D4A-BB1F-49D4-B74F-B76939756604}"/>
            </a:ext>
          </a:extLst>
        </xdr:cNvPr>
        <xdr:cNvCxnSpPr/>
      </xdr:nvCxnSpPr>
      <xdr:spPr>
        <a:xfrm>
          <a:off x="1132114" y="23632885"/>
          <a:ext cx="1262743" cy="1"/>
        </a:xfrm>
        <a:prstGeom prst="line">
          <a:avLst/>
        </a:prstGeom>
        <a:ln w="31750">
          <a:solidFill>
            <a:schemeClr val="tx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</xdr:cxnSp>
    <xdr:clientData/>
  </xdr:twoCellAnchor>
  <xdr:twoCellAnchor>
    <xdr:from>
      <xdr:col>1</xdr:col>
      <xdr:colOff>555171</xdr:colOff>
      <xdr:row>83</xdr:row>
      <xdr:rowOff>21772</xdr:rowOff>
    </xdr:from>
    <xdr:to>
      <xdr:col>1</xdr:col>
      <xdr:colOff>566056</xdr:colOff>
      <xdr:row>89</xdr:row>
      <xdr:rowOff>10885</xdr:rowOff>
    </xdr:to>
    <xdr:cxnSp macro="">
      <xdr:nvCxnSpPr>
        <xdr:cNvPr id="71" name="Straight Connector 70">
          <a:extLst>
            <a:ext uri="{FF2B5EF4-FFF2-40B4-BE49-F238E27FC236}">
              <a16:creationId xmlns:a16="http://schemas.microsoft.com/office/drawing/2014/main" id="{B9F40BBD-4673-42D5-B5D6-743D45B88A2F}"/>
            </a:ext>
          </a:extLst>
        </xdr:cNvPr>
        <xdr:cNvCxnSpPr/>
      </xdr:nvCxnSpPr>
      <xdr:spPr>
        <a:xfrm flipH="1" flipV="1">
          <a:off x="1143000" y="22206858"/>
          <a:ext cx="10885" cy="1426027"/>
        </a:xfrm>
        <a:prstGeom prst="line">
          <a:avLst/>
        </a:prstGeom>
        <a:ln w="31750">
          <a:solidFill>
            <a:schemeClr val="tx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</xdr:cxnSp>
    <xdr:clientData/>
  </xdr:twoCellAnchor>
  <xdr:twoCellAnchor>
    <xdr:from>
      <xdr:col>2</xdr:col>
      <xdr:colOff>204107</xdr:colOff>
      <xdr:row>102</xdr:row>
      <xdr:rowOff>173627</xdr:rowOff>
    </xdr:from>
    <xdr:to>
      <xdr:col>2</xdr:col>
      <xdr:colOff>802821</xdr:colOff>
      <xdr:row>105</xdr:row>
      <xdr:rowOff>122704</xdr:rowOff>
    </xdr:to>
    <xdr:grpSp>
      <xdr:nvGrpSpPr>
        <xdr:cNvPr id="21" name="Group 20">
          <a:extLst>
            <a:ext uri="{FF2B5EF4-FFF2-40B4-BE49-F238E27FC236}">
              <a16:creationId xmlns:a16="http://schemas.microsoft.com/office/drawing/2014/main" id="{7623C9C1-F6B6-4DF8-ADE5-F09DB943B67F}"/>
            </a:ext>
          </a:extLst>
        </xdr:cNvPr>
        <xdr:cNvGrpSpPr/>
      </xdr:nvGrpSpPr>
      <xdr:grpSpPr>
        <a:xfrm>
          <a:off x="1521278" y="20976227"/>
          <a:ext cx="598714" cy="700191"/>
          <a:chOff x="1143000" y="29133799"/>
          <a:chExt cx="806818" cy="868234"/>
        </a:xfrm>
      </xdr:grpSpPr>
      <xdr:cxnSp macro="">
        <xdr:nvCxnSpPr>
          <xdr:cNvPr id="22" name="Straight Connector 21">
            <a:extLst>
              <a:ext uri="{FF2B5EF4-FFF2-40B4-BE49-F238E27FC236}">
                <a16:creationId xmlns:a16="http://schemas.microsoft.com/office/drawing/2014/main" id="{A44D4252-EF1B-3988-DFDD-EEC1103299D7}"/>
              </a:ext>
            </a:extLst>
          </xdr:cNvPr>
          <xdr:cNvCxnSpPr/>
        </xdr:nvCxnSpPr>
        <xdr:spPr>
          <a:xfrm>
            <a:off x="1143000" y="29146500"/>
            <a:ext cx="792000" cy="0"/>
          </a:xfrm>
          <a:prstGeom prst="line">
            <a:avLst/>
          </a:prstGeom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23" name="Straight Connector 22">
            <a:extLst>
              <a:ext uri="{FF2B5EF4-FFF2-40B4-BE49-F238E27FC236}">
                <a16:creationId xmlns:a16="http://schemas.microsoft.com/office/drawing/2014/main" id="{2B310B9D-4920-0042-C772-8704DDC97B03}"/>
              </a:ext>
            </a:extLst>
          </xdr:cNvPr>
          <xdr:cNvCxnSpPr/>
        </xdr:nvCxnSpPr>
        <xdr:spPr>
          <a:xfrm>
            <a:off x="1157818" y="29997400"/>
            <a:ext cx="792000" cy="0"/>
          </a:xfrm>
          <a:prstGeom prst="line">
            <a:avLst/>
          </a:prstGeom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24" name="Straight Connector 23">
            <a:extLst>
              <a:ext uri="{FF2B5EF4-FFF2-40B4-BE49-F238E27FC236}">
                <a16:creationId xmlns:a16="http://schemas.microsoft.com/office/drawing/2014/main" id="{6F8922A3-799E-E247-D5F4-89CE66628083}"/>
              </a:ext>
            </a:extLst>
          </xdr:cNvPr>
          <xdr:cNvCxnSpPr/>
        </xdr:nvCxnSpPr>
        <xdr:spPr>
          <a:xfrm flipH="1">
            <a:off x="1153583" y="29133799"/>
            <a:ext cx="0" cy="864000"/>
          </a:xfrm>
          <a:prstGeom prst="line">
            <a:avLst/>
          </a:prstGeom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  <xdr:cxnSp macro="">
        <xdr:nvCxnSpPr>
          <xdr:cNvPr id="39" name="Straight Connector 38">
            <a:extLst>
              <a:ext uri="{FF2B5EF4-FFF2-40B4-BE49-F238E27FC236}">
                <a16:creationId xmlns:a16="http://schemas.microsoft.com/office/drawing/2014/main" id="{D585BA94-27ED-C645-998C-E56AC9E9B860}"/>
              </a:ext>
            </a:extLst>
          </xdr:cNvPr>
          <xdr:cNvCxnSpPr/>
        </xdr:nvCxnSpPr>
        <xdr:spPr>
          <a:xfrm flipH="1">
            <a:off x="1940983" y="29138033"/>
            <a:ext cx="0" cy="864000"/>
          </a:xfrm>
          <a:prstGeom prst="line">
            <a:avLst/>
          </a:prstGeom>
        </xdr:spPr>
        <xdr:style>
          <a:lnRef idx="3">
            <a:schemeClr val="dk1"/>
          </a:lnRef>
          <a:fillRef idx="0">
            <a:schemeClr val="dk1"/>
          </a:fillRef>
          <a:effectRef idx="2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</xdr:col>
      <xdr:colOff>504264</xdr:colOff>
      <xdr:row>108</xdr:row>
      <xdr:rowOff>0</xdr:rowOff>
    </xdr:from>
    <xdr:to>
      <xdr:col>3</xdr:col>
      <xdr:colOff>219186</xdr:colOff>
      <xdr:row>108</xdr:row>
      <xdr:rowOff>1588</xdr:rowOff>
    </xdr:to>
    <xdr:cxnSp macro="">
      <xdr:nvCxnSpPr>
        <xdr:cNvPr id="40" name="Straight Connector 39">
          <a:extLst>
            <a:ext uri="{FF2B5EF4-FFF2-40B4-BE49-F238E27FC236}">
              <a16:creationId xmlns:a16="http://schemas.microsoft.com/office/drawing/2014/main" id="{2C95258C-2DE4-46AD-B7B9-11272F68975D}"/>
            </a:ext>
          </a:extLst>
        </xdr:cNvPr>
        <xdr:cNvCxnSpPr/>
      </xdr:nvCxnSpPr>
      <xdr:spPr>
        <a:xfrm>
          <a:off x="1091004" y="29992320"/>
          <a:ext cx="1505622" cy="1588"/>
        </a:xfrm>
        <a:prstGeom prst="line">
          <a:avLst/>
        </a:prstGeom>
        <a:ln w="31750">
          <a:solidFill>
            <a:schemeClr val="tx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</xdr:cxnSp>
    <xdr:clientData/>
  </xdr:twoCellAnchor>
  <xdr:twoCellAnchor>
    <xdr:from>
      <xdr:col>1</xdr:col>
      <xdr:colOff>504264</xdr:colOff>
      <xdr:row>112</xdr:row>
      <xdr:rowOff>0</xdr:rowOff>
    </xdr:from>
    <xdr:to>
      <xdr:col>3</xdr:col>
      <xdr:colOff>219186</xdr:colOff>
      <xdr:row>112</xdr:row>
      <xdr:rowOff>1588</xdr:rowOff>
    </xdr:to>
    <xdr:cxnSp macro="">
      <xdr:nvCxnSpPr>
        <xdr:cNvPr id="41" name="Straight Connector 40">
          <a:extLst>
            <a:ext uri="{FF2B5EF4-FFF2-40B4-BE49-F238E27FC236}">
              <a16:creationId xmlns:a16="http://schemas.microsoft.com/office/drawing/2014/main" id="{67F7492F-A6B3-4862-9109-EBC3EC0CD221}"/>
            </a:ext>
          </a:extLst>
        </xdr:cNvPr>
        <xdr:cNvCxnSpPr/>
      </xdr:nvCxnSpPr>
      <xdr:spPr>
        <a:xfrm>
          <a:off x="1091004" y="30998160"/>
          <a:ext cx="1505622" cy="1588"/>
        </a:xfrm>
        <a:prstGeom prst="line">
          <a:avLst/>
        </a:prstGeom>
        <a:ln w="31750">
          <a:solidFill>
            <a:schemeClr val="tx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557F7-8B64-4345-B4BE-BA94D9088DF4}">
  <dimension ref="B2:J17"/>
  <sheetViews>
    <sheetView tabSelected="1" workbookViewId="0">
      <selection activeCell="I11" sqref="I11"/>
    </sheetView>
  </sheetViews>
  <sheetFormatPr defaultRowHeight="14.4" x14ac:dyDescent="0.3"/>
  <cols>
    <col min="2" max="2" width="7.21875" bestFit="1" customWidth="1"/>
    <col min="3" max="3" width="23.6640625" bestFit="1" customWidth="1"/>
    <col min="4" max="4" width="6.6640625" bestFit="1" customWidth="1"/>
    <col min="5" max="5" width="3.5546875" customWidth="1"/>
    <col min="6" max="6" width="6.5546875" bestFit="1" customWidth="1"/>
    <col min="7" max="7" width="6.77734375" bestFit="1" customWidth="1"/>
    <col min="8" max="8" width="8.77734375" bestFit="1" customWidth="1"/>
    <col min="9" max="9" width="10.21875" bestFit="1" customWidth="1"/>
    <col min="10" max="10" width="5.88671875" bestFit="1" customWidth="1"/>
    <col min="11" max="11" width="9.5546875" bestFit="1" customWidth="1"/>
    <col min="16" max="16" width="12.6640625" bestFit="1" customWidth="1"/>
  </cols>
  <sheetData>
    <row r="2" spans="2:10" x14ac:dyDescent="0.3">
      <c r="B2" s="135" t="s">
        <v>20</v>
      </c>
      <c r="C2" s="135"/>
      <c r="D2" s="135"/>
      <c r="E2" s="135"/>
      <c r="F2" s="135"/>
      <c r="G2" s="135"/>
      <c r="H2" s="135"/>
      <c r="I2" s="135"/>
      <c r="J2" s="135"/>
    </row>
    <row r="3" spans="2:10" x14ac:dyDescent="0.3">
      <c r="B3" s="1" t="s">
        <v>84</v>
      </c>
      <c r="C3" s="1" t="s">
        <v>0</v>
      </c>
      <c r="D3" s="1" t="s">
        <v>4</v>
      </c>
      <c r="E3" s="1"/>
      <c r="F3" s="2" t="s">
        <v>5</v>
      </c>
      <c r="G3" s="1" t="s">
        <v>2</v>
      </c>
      <c r="H3" s="1" t="s">
        <v>7</v>
      </c>
      <c r="I3" s="1" t="s">
        <v>3</v>
      </c>
      <c r="J3" s="1" t="s">
        <v>10</v>
      </c>
    </row>
    <row r="4" spans="2:10" x14ac:dyDescent="0.3">
      <c r="B4" s="3">
        <v>1</v>
      </c>
      <c r="C4" s="3" t="s">
        <v>14</v>
      </c>
      <c r="D4" s="3" t="s">
        <v>1</v>
      </c>
      <c r="E4" s="3">
        <v>1</v>
      </c>
      <c r="F4" s="4">
        <f>80+0.1+0.1</f>
        <v>80.199999999999989</v>
      </c>
      <c r="G4" s="4">
        <f>2.5+0.3+0.3+0.1+0.1</f>
        <v>3.3</v>
      </c>
      <c r="H4" s="4">
        <v>0.1</v>
      </c>
      <c r="I4" s="5">
        <f>E4*F4*G4*H4</f>
        <v>26.465999999999998</v>
      </c>
      <c r="J4" s="3" t="s">
        <v>11</v>
      </c>
    </row>
    <row r="5" spans="2:10" x14ac:dyDescent="0.3">
      <c r="B5" s="3">
        <f>B4+1</f>
        <v>2</v>
      </c>
      <c r="C5" s="6" t="s">
        <v>15</v>
      </c>
      <c r="D5" s="3" t="s">
        <v>1</v>
      </c>
      <c r="E5" s="3">
        <v>1</v>
      </c>
      <c r="F5" s="4">
        <v>80</v>
      </c>
      <c r="G5" s="4">
        <f>2.5+0.3+0.3</f>
        <v>3.0999999999999996</v>
      </c>
      <c r="H5" s="4">
        <v>0.35</v>
      </c>
      <c r="I5" s="5">
        <f>E5*F5*G5*H5</f>
        <v>86.799999999999983</v>
      </c>
      <c r="J5" s="3" t="s">
        <v>19</v>
      </c>
    </row>
    <row r="6" spans="2:10" x14ac:dyDescent="0.3">
      <c r="B6" s="3">
        <f t="shared" ref="B6:B11" si="0">B5+1</f>
        <v>3</v>
      </c>
      <c r="C6" s="6" t="s">
        <v>16</v>
      </c>
      <c r="D6" s="3" t="s">
        <v>1</v>
      </c>
      <c r="E6" s="3">
        <v>2</v>
      </c>
      <c r="F6" s="4">
        <v>80</v>
      </c>
      <c r="G6" s="4">
        <v>3</v>
      </c>
      <c r="H6" s="4">
        <v>0.3</v>
      </c>
      <c r="I6" s="5">
        <f>E6*F6*G6*H6</f>
        <v>144</v>
      </c>
      <c r="J6" s="3" t="s">
        <v>19</v>
      </c>
    </row>
    <row r="7" spans="2:10" x14ac:dyDescent="0.3">
      <c r="B7" s="3">
        <f t="shared" si="0"/>
        <v>4</v>
      </c>
      <c r="C7" s="3" t="s">
        <v>17</v>
      </c>
      <c r="D7" s="3" t="s">
        <v>1</v>
      </c>
      <c r="E7" s="3">
        <v>2</v>
      </c>
      <c r="F7" s="4">
        <v>80</v>
      </c>
      <c r="G7" s="136">
        <f>0.5*0.3*0.3</f>
        <v>4.4999999999999998E-2</v>
      </c>
      <c r="H7" s="136"/>
      <c r="I7" s="5">
        <f>E7*F7*G7</f>
        <v>7.1999999999999993</v>
      </c>
      <c r="J7" s="3" t="s">
        <v>19</v>
      </c>
    </row>
    <row r="8" spans="2:10" x14ac:dyDescent="0.3">
      <c r="B8" s="3">
        <f t="shared" si="0"/>
        <v>5</v>
      </c>
      <c r="C8" s="3" t="s">
        <v>18</v>
      </c>
      <c r="D8" s="3" t="s">
        <v>1</v>
      </c>
      <c r="E8" s="3">
        <v>2</v>
      </c>
      <c r="F8" s="4">
        <v>80</v>
      </c>
      <c r="G8" s="136">
        <f>0.5*0.3*0.3</f>
        <v>4.4999999999999998E-2</v>
      </c>
      <c r="H8" s="136"/>
      <c r="I8" s="5">
        <f>E8*F8*G8</f>
        <v>7.1999999999999993</v>
      </c>
      <c r="J8" s="3" t="s">
        <v>19</v>
      </c>
    </row>
    <row r="9" spans="2:10" x14ac:dyDescent="0.3">
      <c r="B9" s="3">
        <f t="shared" si="0"/>
        <v>6</v>
      </c>
      <c r="C9" s="3" t="s">
        <v>8</v>
      </c>
      <c r="D9" s="3" t="s">
        <v>1</v>
      </c>
      <c r="E9" s="3">
        <v>1</v>
      </c>
      <c r="F9" s="4">
        <v>80</v>
      </c>
      <c r="G9" s="3">
        <f>2.5+0.3+0.3</f>
        <v>3.0999999999999996</v>
      </c>
      <c r="H9" s="4">
        <v>0.3</v>
      </c>
      <c r="I9" s="5">
        <f>E9*F9*G9*H9</f>
        <v>74.399999999999991</v>
      </c>
      <c r="J9" s="3" t="s">
        <v>19</v>
      </c>
    </row>
    <row r="10" spans="2:10" x14ac:dyDescent="0.3">
      <c r="B10" s="3">
        <f t="shared" si="0"/>
        <v>7</v>
      </c>
      <c r="C10" s="3" t="s">
        <v>79</v>
      </c>
      <c r="D10" s="3" t="s">
        <v>1</v>
      </c>
      <c r="E10" s="3">
        <v>2</v>
      </c>
      <c r="F10" s="4">
        <f>80+0.1+0.1</f>
        <v>80.199999999999989</v>
      </c>
      <c r="G10" s="3">
        <f>0.3+0.1+0.1</f>
        <v>0.5</v>
      </c>
      <c r="H10" s="4">
        <v>0.1</v>
      </c>
      <c r="I10" s="5">
        <f>E10*F10*G10*H10</f>
        <v>8.02</v>
      </c>
      <c r="J10" s="3" t="s">
        <v>11</v>
      </c>
    </row>
    <row r="11" spans="2:10" x14ac:dyDescent="0.3">
      <c r="B11" s="3">
        <f t="shared" si="0"/>
        <v>8</v>
      </c>
      <c r="C11" s="3" t="s">
        <v>78</v>
      </c>
      <c r="D11" s="3" t="s">
        <v>1</v>
      </c>
      <c r="E11" s="3">
        <v>2</v>
      </c>
      <c r="F11" s="4">
        <v>80</v>
      </c>
      <c r="G11" s="3">
        <v>0.3</v>
      </c>
      <c r="H11" s="4">
        <v>1.5</v>
      </c>
      <c r="I11" s="5">
        <f>E11*F11*G11*H11</f>
        <v>72</v>
      </c>
      <c r="J11" s="3" t="s">
        <v>19</v>
      </c>
    </row>
    <row r="12" spans="2:10" x14ac:dyDescent="0.3">
      <c r="B12" s="135" t="s">
        <v>6</v>
      </c>
      <c r="C12" s="135"/>
      <c r="D12" s="135"/>
      <c r="E12" s="135"/>
      <c r="F12" s="135"/>
      <c r="G12" s="135"/>
      <c r="H12" s="135"/>
      <c r="I12" s="7">
        <f>SUM(I4:I11)</f>
        <v>426.0859999999999</v>
      </c>
      <c r="J12" s="3"/>
    </row>
    <row r="14" spans="2:10" ht="15" thickBot="1" x14ac:dyDescent="0.35"/>
    <row r="15" spans="2:10" x14ac:dyDescent="0.3">
      <c r="C15" s="131" t="s">
        <v>11</v>
      </c>
      <c r="D15" s="132">
        <f>(SUMIF($J$4:$J11,"M-15",$I$4:$I$11))</f>
        <v>34.485999999999997</v>
      </c>
    </row>
    <row r="16" spans="2:10" x14ac:dyDescent="0.3">
      <c r="C16" s="133" t="s">
        <v>19</v>
      </c>
      <c r="D16" s="134">
        <f>(SUMIF($J$4:$J11,"M-25",$I$4:$I$11))</f>
        <v>391.59999999999997</v>
      </c>
    </row>
    <row r="17" spans="3:4" ht="15" thickBot="1" x14ac:dyDescent="0.35">
      <c r="C17" s="129" t="s">
        <v>6</v>
      </c>
      <c r="D17" s="130">
        <f>SUM(D15:D16)</f>
        <v>426.08599999999996</v>
      </c>
    </row>
  </sheetData>
  <mergeCells count="4">
    <mergeCell ref="B2:J2"/>
    <mergeCell ref="B12:H12"/>
    <mergeCell ref="G7:H7"/>
    <mergeCell ref="G8:H8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4BE303-C543-4DD2-9F2B-C8CAA0A0727E}">
  <dimension ref="A4:AI142"/>
  <sheetViews>
    <sheetView view="pageBreakPreview" topLeftCell="A97" zoomScale="70" zoomScaleNormal="70" zoomScaleSheetLayoutView="70" workbookViewId="0">
      <selection activeCell="M111" sqref="M111:M114"/>
    </sheetView>
  </sheetViews>
  <sheetFormatPr defaultRowHeight="12.6" x14ac:dyDescent="0.2"/>
  <cols>
    <col min="1" max="1" width="8.5546875" style="8" customWidth="1"/>
    <col min="2" max="2" width="10.6640625" style="9" customWidth="1"/>
    <col min="3" max="3" width="15.44140625" style="9" customWidth="1"/>
    <col min="4" max="4" width="11.109375" style="10" customWidth="1"/>
    <col min="5" max="5" width="8.109375" style="9" customWidth="1"/>
    <col min="6" max="6" width="11.44140625" style="11" customWidth="1"/>
    <col min="7" max="7" width="11.88671875" style="10" bestFit="1" customWidth="1"/>
    <col min="8" max="8" width="7.109375" style="12" customWidth="1"/>
    <col min="9" max="9" width="10.6640625" style="13" bestFit="1" customWidth="1"/>
    <col min="10" max="10" width="13.44140625" style="11" customWidth="1"/>
    <col min="11" max="11" width="10.6640625" style="9" customWidth="1"/>
    <col min="12" max="12" width="12.88671875" style="9" customWidth="1"/>
    <col min="13" max="13" width="22" style="14" customWidth="1"/>
    <col min="14" max="14" width="12.88671875" style="9" bestFit="1" customWidth="1"/>
    <col min="15" max="15" width="9.5546875" style="15" customWidth="1"/>
    <col min="16" max="16" width="7.33203125" style="15" customWidth="1"/>
    <col min="17" max="18" width="9.109375" style="15" customWidth="1"/>
    <col min="19" max="19" width="10" style="15" customWidth="1"/>
    <col min="20" max="20" width="9.33203125" style="15" bestFit="1" customWidth="1"/>
    <col min="21" max="21" width="9.109375" style="9" customWidth="1"/>
    <col min="22" max="22" width="10.33203125" style="9" customWidth="1"/>
    <col min="23" max="32" width="8.88671875" style="9"/>
    <col min="33" max="33" width="10.5546875" style="9" bestFit="1" customWidth="1"/>
    <col min="34" max="256" width="8.88671875" style="9"/>
    <col min="257" max="257" width="8.5546875" style="9" customWidth="1"/>
    <col min="258" max="258" width="10.6640625" style="9" customWidth="1"/>
    <col min="259" max="259" width="15" style="9" customWidth="1"/>
    <col min="260" max="260" width="9.44140625" style="9" customWidth="1"/>
    <col min="261" max="261" width="8.109375" style="9" customWidth="1"/>
    <col min="262" max="262" width="11.44140625" style="9" customWidth="1"/>
    <col min="263" max="263" width="11.33203125" style="9" bestFit="1" customWidth="1"/>
    <col min="264" max="264" width="7.109375" style="9" customWidth="1"/>
    <col min="265" max="265" width="6.44140625" style="9" customWidth="1"/>
    <col min="266" max="266" width="13.44140625" style="9" customWidth="1"/>
    <col min="267" max="267" width="10.6640625" style="9" customWidth="1"/>
    <col min="268" max="268" width="12.88671875" style="9" customWidth="1"/>
    <col min="269" max="269" width="17.88671875" style="9" customWidth="1"/>
    <col min="270" max="270" width="3.44140625" style="9" customWidth="1"/>
    <col min="271" max="271" width="9.5546875" style="9" customWidth="1"/>
    <col min="272" max="275" width="9.109375" style="9" customWidth="1"/>
    <col min="276" max="276" width="12" style="9" customWidth="1"/>
    <col min="277" max="277" width="9.109375" style="9" customWidth="1"/>
    <col min="278" max="278" width="9.6640625" style="9" customWidth="1"/>
    <col min="279" max="512" width="8.88671875" style="9"/>
    <col min="513" max="513" width="8.5546875" style="9" customWidth="1"/>
    <col min="514" max="514" width="10.6640625" style="9" customWidth="1"/>
    <col min="515" max="515" width="15" style="9" customWidth="1"/>
    <col min="516" max="516" width="9.44140625" style="9" customWidth="1"/>
    <col min="517" max="517" width="8.109375" style="9" customWidth="1"/>
    <col min="518" max="518" width="11.44140625" style="9" customWidth="1"/>
    <col min="519" max="519" width="11.33203125" style="9" bestFit="1" customWidth="1"/>
    <col min="520" max="520" width="7.109375" style="9" customWidth="1"/>
    <col min="521" max="521" width="6.44140625" style="9" customWidth="1"/>
    <col min="522" max="522" width="13.44140625" style="9" customWidth="1"/>
    <col min="523" max="523" width="10.6640625" style="9" customWidth="1"/>
    <col min="524" max="524" width="12.88671875" style="9" customWidth="1"/>
    <col min="525" max="525" width="17.88671875" style="9" customWidth="1"/>
    <col min="526" max="526" width="3.44140625" style="9" customWidth="1"/>
    <col min="527" max="527" width="9.5546875" style="9" customWidth="1"/>
    <col min="528" max="531" width="9.109375" style="9" customWidth="1"/>
    <col min="532" max="532" width="12" style="9" customWidth="1"/>
    <col min="533" max="533" width="9.109375" style="9" customWidth="1"/>
    <col min="534" max="534" width="9.6640625" style="9" customWidth="1"/>
    <col min="535" max="768" width="8.88671875" style="9"/>
    <col min="769" max="769" width="8.5546875" style="9" customWidth="1"/>
    <col min="770" max="770" width="10.6640625" style="9" customWidth="1"/>
    <col min="771" max="771" width="15" style="9" customWidth="1"/>
    <col min="772" max="772" width="9.44140625" style="9" customWidth="1"/>
    <col min="773" max="773" width="8.109375" style="9" customWidth="1"/>
    <col min="774" max="774" width="11.44140625" style="9" customWidth="1"/>
    <col min="775" max="775" width="11.33203125" style="9" bestFit="1" customWidth="1"/>
    <col min="776" max="776" width="7.109375" style="9" customWidth="1"/>
    <col min="777" max="777" width="6.44140625" style="9" customWidth="1"/>
    <col min="778" max="778" width="13.44140625" style="9" customWidth="1"/>
    <col min="779" max="779" width="10.6640625" style="9" customWidth="1"/>
    <col min="780" max="780" width="12.88671875" style="9" customWidth="1"/>
    <col min="781" max="781" width="17.88671875" style="9" customWidth="1"/>
    <col min="782" max="782" width="3.44140625" style="9" customWidth="1"/>
    <col min="783" max="783" width="9.5546875" style="9" customWidth="1"/>
    <col min="784" max="787" width="9.109375" style="9" customWidth="1"/>
    <col min="788" max="788" width="12" style="9" customWidth="1"/>
    <col min="789" max="789" width="9.109375" style="9" customWidth="1"/>
    <col min="790" max="790" width="9.6640625" style="9" customWidth="1"/>
    <col min="791" max="1024" width="8.88671875" style="9"/>
    <col min="1025" max="1025" width="8.5546875" style="9" customWidth="1"/>
    <col min="1026" max="1026" width="10.6640625" style="9" customWidth="1"/>
    <col min="1027" max="1027" width="15" style="9" customWidth="1"/>
    <col min="1028" max="1028" width="9.44140625" style="9" customWidth="1"/>
    <col min="1029" max="1029" width="8.109375" style="9" customWidth="1"/>
    <col min="1030" max="1030" width="11.44140625" style="9" customWidth="1"/>
    <col min="1031" max="1031" width="11.33203125" style="9" bestFit="1" customWidth="1"/>
    <col min="1032" max="1032" width="7.109375" style="9" customWidth="1"/>
    <col min="1033" max="1033" width="6.44140625" style="9" customWidth="1"/>
    <col min="1034" max="1034" width="13.44140625" style="9" customWidth="1"/>
    <col min="1035" max="1035" width="10.6640625" style="9" customWidth="1"/>
    <col min="1036" max="1036" width="12.88671875" style="9" customWidth="1"/>
    <col min="1037" max="1037" width="17.88671875" style="9" customWidth="1"/>
    <col min="1038" max="1038" width="3.44140625" style="9" customWidth="1"/>
    <col min="1039" max="1039" width="9.5546875" style="9" customWidth="1"/>
    <col min="1040" max="1043" width="9.109375" style="9" customWidth="1"/>
    <col min="1044" max="1044" width="12" style="9" customWidth="1"/>
    <col min="1045" max="1045" width="9.109375" style="9" customWidth="1"/>
    <col min="1046" max="1046" width="9.6640625" style="9" customWidth="1"/>
    <col min="1047" max="1280" width="8.88671875" style="9"/>
    <col min="1281" max="1281" width="8.5546875" style="9" customWidth="1"/>
    <col min="1282" max="1282" width="10.6640625" style="9" customWidth="1"/>
    <col min="1283" max="1283" width="15" style="9" customWidth="1"/>
    <col min="1284" max="1284" width="9.44140625" style="9" customWidth="1"/>
    <col min="1285" max="1285" width="8.109375" style="9" customWidth="1"/>
    <col min="1286" max="1286" width="11.44140625" style="9" customWidth="1"/>
    <col min="1287" max="1287" width="11.33203125" style="9" bestFit="1" customWidth="1"/>
    <col min="1288" max="1288" width="7.109375" style="9" customWidth="1"/>
    <col min="1289" max="1289" width="6.44140625" style="9" customWidth="1"/>
    <col min="1290" max="1290" width="13.44140625" style="9" customWidth="1"/>
    <col min="1291" max="1291" width="10.6640625" style="9" customWidth="1"/>
    <col min="1292" max="1292" width="12.88671875" style="9" customWidth="1"/>
    <col min="1293" max="1293" width="17.88671875" style="9" customWidth="1"/>
    <col min="1294" max="1294" width="3.44140625" style="9" customWidth="1"/>
    <col min="1295" max="1295" width="9.5546875" style="9" customWidth="1"/>
    <col min="1296" max="1299" width="9.109375" style="9" customWidth="1"/>
    <col min="1300" max="1300" width="12" style="9" customWidth="1"/>
    <col min="1301" max="1301" width="9.109375" style="9" customWidth="1"/>
    <col min="1302" max="1302" width="9.6640625" style="9" customWidth="1"/>
    <col min="1303" max="1536" width="8.88671875" style="9"/>
    <col min="1537" max="1537" width="8.5546875" style="9" customWidth="1"/>
    <col min="1538" max="1538" width="10.6640625" style="9" customWidth="1"/>
    <col min="1539" max="1539" width="15" style="9" customWidth="1"/>
    <col min="1540" max="1540" width="9.44140625" style="9" customWidth="1"/>
    <col min="1541" max="1541" width="8.109375" style="9" customWidth="1"/>
    <col min="1542" max="1542" width="11.44140625" style="9" customWidth="1"/>
    <col min="1543" max="1543" width="11.33203125" style="9" bestFit="1" customWidth="1"/>
    <col min="1544" max="1544" width="7.109375" style="9" customWidth="1"/>
    <col min="1545" max="1545" width="6.44140625" style="9" customWidth="1"/>
    <col min="1546" max="1546" width="13.44140625" style="9" customWidth="1"/>
    <col min="1547" max="1547" width="10.6640625" style="9" customWidth="1"/>
    <col min="1548" max="1548" width="12.88671875" style="9" customWidth="1"/>
    <col min="1549" max="1549" width="17.88671875" style="9" customWidth="1"/>
    <col min="1550" max="1550" width="3.44140625" style="9" customWidth="1"/>
    <col min="1551" max="1551" width="9.5546875" style="9" customWidth="1"/>
    <col min="1552" max="1555" width="9.109375" style="9" customWidth="1"/>
    <col min="1556" max="1556" width="12" style="9" customWidth="1"/>
    <col min="1557" max="1557" width="9.109375" style="9" customWidth="1"/>
    <col min="1558" max="1558" width="9.6640625" style="9" customWidth="1"/>
    <col min="1559" max="1792" width="8.88671875" style="9"/>
    <col min="1793" max="1793" width="8.5546875" style="9" customWidth="1"/>
    <col min="1794" max="1794" width="10.6640625" style="9" customWidth="1"/>
    <col min="1795" max="1795" width="15" style="9" customWidth="1"/>
    <col min="1796" max="1796" width="9.44140625" style="9" customWidth="1"/>
    <col min="1797" max="1797" width="8.109375" style="9" customWidth="1"/>
    <col min="1798" max="1798" width="11.44140625" style="9" customWidth="1"/>
    <col min="1799" max="1799" width="11.33203125" style="9" bestFit="1" customWidth="1"/>
    <col min="1800" max="1800" width="7.109375" style="9" customWidth="1"/>
    <col min="1801" max="1801" width="6.44140625" style="9" customWidth="1"/>
    <col min="1802" max="1802" width="13.44140625" style="9" customWidth="1"/>
    <col min="1803" max="1803" width="10.6640625" style="9" customWidth="1"/>
    <col min="1804" max="1804" width="12.88671875" style="9" customWidth="1"/>
    <col min="1805" max="1805" width="17.88671875" style="9" customWidth="1"/>
    <col min="1806" max="1806" width="3.44140625" style="9" customWidth="1"/>
    <col min="1807" max="1807" width="9.5546875" style="9" customWidth="1"/>
    <col min="1808" max="1811" width="9.109375" style="9" customWidth="1"/>
    <col min="1812" max="1812" width="12" style="9" customWidth="1"/>
    <col min="1813" max="1813" width="9.109375" style="9" customWidth="1"/>
    <col min="1814" max="1814" width="9.6640625" style="9" customWidth="1"/>
    <col min="1815" max="2048" width="8.88671875" style="9"/>
    <col min="2049" max="2049" width="8.5546875" style="9" customWidth="1"/>
    <col min="2050" max="2050" width="10.6640625" style="9" customWidth="1"/>
    <col min="2051" max="2051" width="15" style="9" customWidth="1"/>
    <col min="2052" max="2052" width="9.44140625" style="9" customWidth="1"/>
    <col min="2053" max="2053" width="8.109375" style="9" customWidth="1"/>
    <col min="2054" max="2054" width="11.44140625" style="9" customWidth="1"/>
    <col min="2055" max="2055" width="11.33203125" style="9" bestFit="1" customWidth="1"/>
    <col min="2056" max="2056" width="7.109375" style="9" customWidth="1"/>
    <col min="2057" max="2057" width="6.44140625" style="9" customWidth="1"/>
    <col min="2058" max="2058" width="13.44140625" style="9" customWidth="1"/>
    <col min="2059" max="2059" width="10.6640625" style="9" customWidth="1"/>
    <col min="2060" max="2060" width="12.88671875" style="9" customWidth="1"/>
    <col min="2061" max="2061" width="17.88671875" style="9" customWidth="1"/>
    <col min="2062" max="2062" width="3.44140625" style="9" customWidth="1"/>
    <col min="2063" max="2063" width="9.5546875" style="9" customWidth="1"/>
    <col min="2064" max="2067" width="9.109375" style="9" customWidth="1"/>
    <col min="2068" max="2068" width="12" style="9" customWidth="1"/>
    <col min="2069" max="2069" width="9.109375" style="9" customWidth="1"/>
    <col min="2070" max="2070" width="9.6640625" style="9" customWidth="1"/>
    <col min="2071" max="2304" width="8.88671875" style="9"/>
    <col min="2305" max="2305" width="8.5546875" style="9" customWidth="1"/>
    <col min="2306" max="2306" width="10.6640625" style="9" customWidth="1"/>
    <col min="2307" max="2307" width="15" style="9" customWidth="1"/>
    <col min="2308" max="2308" width="9.44140625" style="9" customWidth="1"/>
    <col min="2309" max="2309" width="8.109375" style="9" customWidth="1"/>
    <col min="2310" max="2310" width="11.44140625" style="9" customWidth="1"/>
    <col min="2311" max="2311" width="11.33203125" style="9" bestFit="1" customWidth="1"/>
    <col min="2312" max="2312" width="7.109375" style="9" customWidth="1"/>
    <col min="2313" max="2313" width="6.44140625" style="9" customWidth="1"/>
    <col min="2314" max="2314" width="13.44140625" style="9" customWidth="1"/>
    <col min="2315" max="2315" width="10.6640625" style="9" customWidth="1"/>
    <col min="2316" max="2316" width="12.88671875" style="9" customWidth="1"/>
    <col min="2317" max="2317" width="17.88671875" style="9" customWidth="1"/>
    <col min="2318" max="2318" width="3.44140625" style="9" customWidth="1"/>
    <col min="2319" max="2319" width="9.5546875" style="9" customWidth="1"/>
    <col min="2320" max="2323" width="9.109375" style="9" customWidth="1"/>
    <col min="2324" max="2324" width="12" style="9" customWidth="1"/>
    <col min="2325" max="2325" width="9.109375" style="9" customWidth="1"/>
    <col min="2326" max="2326" width="9.6640625" style="9" customWidth="1"/>
    <col min="2327" max="2560" width="8.88671875" style="9"/>
    <col min="2561" max="2561" width="8.5546875" style="9" customWidth="1"/>
    <col min="2562" max="2562" width="10.6640625" style="9" customWidth="1"/>
    <col min="2563" max="2563" width="15" style="9" customWidth="1"/>
    <col min="2564" max="2564" width="9.44140625" style="9" customWidth="1"/>
    <col min="2565" max="2565" width="8.109375" style="9" customWidth="1"/>
    <col min="2566" max="2566" width="11.44140625" style="9" customWidth="1"/>
    <col min="2567" max="2567" width="11.33203125" style="9" bestFit="1" customWidth="1"/>
    <col min="2568" max="2568" width="7.109375" style="9" customWidth="1"/>
    <col min="2569" max="2569" width="6.44140625" style="9" customWidth="1"/>
    <col min="2570" max="2570" width="13.44140625" style="9" customWidth="1"/>
    <col min="2571" max="2571" width="10.6640625" style="9" customWidth="1"/>
    <col min="2572" max="2572" width="12.88671875" style="9" customWidth="1"/>
    <col min="2573" max="2573" width="17.88671875" style="9" customWidth="1"/>
    <col min="2574" max="2574" width="3.44140625" style="9" customWidth="1"/>
    <col min="2575" max="2575" width="9.5546875" style="9" customWidth="1"/>
    <col min="2576" max="2579" width="9.109375" style="9" customWidth="1"/>
    <col min="2580" max="2580" width="12" style="9" customWidth="1"/>
    <col min="2581" max="2581" width="9.109375" style="9" customWidth="1"/>
    <col min="2582" max="2582" width="9.6640625" style="9" customWidth="1"/>
    <col min="2583" max="2816" width="8.88671875" style="9"/>
    <col min="2817" max="2817" width="8.5546875" style="9" customWidth="1"/>
    <col min="2818" max="2818" width="10.6640625" style="9" customWidth="1"/>
    <col min="2819" max="2819" width="15" style="9" customWidth="1"/>
    <col min="2820" max="2820" width="9.44140625" style="9" customWidth="1"/>
    <col min="2821" max="2821" width="8.109375" style="9" customWidth="1"/>
    <col min="2822" max="2822" width="11.44140625" style="9" customWidth="1"/>
    <col min="2823" max="2823" width="11.33203125" style="9" bestFit="1" customWidth="1"/>
    <col min="2824" max="2824" width="7.109375" style="9" customWidth="1"/>
    <col min="2825" max="2825" width="6.44140625" style="9" customWidth="1"/>
    <col min="2826" max="2826" width="13.44140625" style="9" customWidth="1"/>
    <col min="2827" max="2827" width="10.6640625" style="9" customWidth="1"/>
    <col min="2828" max="2828" width="12.88671875" style="9" customWidth="1"/>
    <col min="2829" max="2829" width="17.88671875" style="9" customWidth="1"/>
    <col min="2830" max="2830" width="3.44140625" style="9" customWidth="1"/>
    <col min="2831" max="2831" width="9.5546875" style="9" customWidth="1"/>
    <col min="2832" max="2835" width="9.109375" style="9" customWidth="1"/>
    <col min="2836" max="2836" width="12" style="9" customWidth="1"/>
    <col min="2837" max="2837" width="9.109375" style="9" customWidth="1"/>
    <col min="2838" max="2838" width="9.6640625" style="9" customWidth="1"/>
    <col min="2839" max="3072" width="8.88671875" style="9"/>
    <col min="3073" max="3073" width="8.5546875" style="9" customWidth="1"/>
    <col min="3074" max="3074" width="10.6640625" style="9" customWidth="1"/>
    <col min="3075" max="3075" width="15" style="9" customWidth="1"/>
    <col min="3076" max="3076" width="9.44140625" style="9" customWidth="1"/>
    <col min="3077" max="3077" width="8.109375" style="9" customWidth="1"/>
    <col min="3078" max="3078" width="11.44140625" style="9" customWidth="1"/>
    <col min="3079" max="3079" width="11.33203125" style="9" bestFit="1" customWidth="1"/>
    <col min="3080" max="3080" width="7.109375" style="9" customWidth="1"/>
    <col min="3081" max="3081" width="6.44140625" style="9" customWidth="1"/>
    <col min="3082" max="3082" width="13.44140625" style="9" customWidth="1"/>
    <col min="3083" max="3083" width="10.6640625" style="9" customWidth="1"/>
    <col min="3084" max="3084" width="12.88671875" style="9" customWidth="1"/>
    <col min="3085" max="3085" width="17.88671875" style="9" customWidth="1"/>
    <col min="3086" max="3086" width="3.44140625" style="9" customWidth="1"/>
    <col min="3087" max="3087" width="9.5546875" style="9" customWidth="1"/>
    <col min="3088" max="3091" width="9.109375" style="9" customWidth="1"/>
    <col min="3092" max="3092" width="12" style="9" customWidth="1"/>
    <col min="3093" max="3093" width="9.109375" style="9" customWidth="1"/>
    <col min="3094" max="3094" width="9.6640625" style="9" customWidth="1"/>
    <col min="3095" max="3328" width="8.88671875" style="9"/>
    <col min="3329" max="3329" width="8.5546875" style="9" customWidth="1"/>
    <col min="3330" max="3330" width="10.6640625" style="9" customWidth="1"/>
    <col min="3331" max="3331" width="15" style="9" customWidth="1"/>
    <col min="3332" max="3332" width="9.44140625" style="9" customWidth="1"/>
    <col min="3333" max="3333" width="8.109375" style="9" customWidth="1"/>
    <col min="3334" max="3334" width="11.44140625" style="9" customWidth="1"/>
    <col min="3335" max="3335" width="11.33203125" style="9" bestFit="1" customWidth="1"/>
    <col min="3336" max="3336" width="7.109375" style="9" customWidth="1"/>
    <col min="3337" max="3337" width="6.44140625" style="9" customWidth="1"/>
    <col min="3338" max="3338" width="13.44140625" style="9" customWidth="1"/>
    <col min="3339" max="3339" width="10.6640625" style="9" customWidth="1"/>
    <col min="3340" max="3340" width="12.88671875" style="9" customWidth="1"/>
    <col min="3341" max="3341" width="17.88671875" style="9" customWidth="1"/>
    <col min="3342" max="3342" width="3.44140625" style="9" customWidth="1"/>
    <col min="3343" max="3343" width="9.5546875" style="9" customWidth="1"/>
    <col min="3344" max="3347" width="9.109375" style="9" customWidth="1"/>
    <col min="3348" max="3348" width="12" style="9" customWidth="1"/>
    <col min="3349" max="3349" width="9.109375" style="9" customWidth="1"/>
    <col min="3350" max="3350" width="9.6640625" style="9" customWidth="1"/>
    <col min="3351" max="3584" width="8.88671875" style="9"/>
    <col min="3585" max="3585" width="8.5546875" style="9" customWidth="1"/>
    <col min="3586" max="3586" width="10.6640625" style="9" customWidth="1"/>
    <col min="3587" max="3587" width="15" style="9" customWidth="1"/>
    <col min="3588" max="3588" width="9.44140625" style="9" customWidth="1"/>
    <col min="3589" max="3589" width="8.109375" style="9" customWidth="1"/>
    <col min="3590" max="3590" width="11.44140625" style="9" customWidth="1"/>
    <col min="3591" max="3591" width="11.33203125" style="9" bestFit="1" customWidth="1"/>
    <col min="3592" max="3592" width="7.109375" style="9" customWidth="1"/>
    <col min="3593" max="3593" width="6.44140625" style="9" customWidth="1"/>
    <col min="3594" max="3594" width="13.44140625" style="9" customWidth="1"/>
    <col min="3595" max="3595" width="10.6640625" style="9" customWidth="1"/>
    <col min="3596" max="3596" width="12.88671875" style="9" customWidth="1"/>
    <col min="3597" max="3597" width="17.88671875" style="9" customWidth="1"/>
    <col min="3598" max="3598" width="3.44140625" style="9" customWidth="1"/>
    <col min="3599" max="3599" width="9.5546875" style="9" customWidth="1"/>
    <col min="3600" max="3603" width="9.109375" style="9" customWidth="1"/>
    <col min="3604" max="3604" width="12" style="9" customWidth="1"/>
    <col min="3605" max="3605" width="9.109375" style="9" customWidth="1"/>
    <col min="3606" max="3606" width="9.6640625" style="9" customWidth="1"/>
    <col min="3607" max="3840" width="8.88671875" style="9"/>
    <col min="3841" max="3841" width="8.5546875" style="9" customWidth="1"/>
    <col min="3842" max="3842" width="10.6640625" style="9" customWidth="1"/>
    <col min="3843" max="3843" width="15" style="9" customWidth="1"/>
    <col min="3844" max="3844" width="9.44140625" style="9" customWidth="1"/>
    <col min="3845" max="3845" width="8.109375" style="9" customWidth="1"/>
    <col min="3846" max="3846" width="11.44140625" style="9" customWidth="1"/>
    <col min="3847" max="3847" width="11.33203125" style="9" bestFit="1" customWidth="1"/>
    <col min="3848" max="3848" width="7.109375" style="9" customWidth="1"/>
    <col min="3849" max="3849" width="6.44140625" style="9" customWidth="1"/>
    <col min="3850" max="3850" width="13.44140625" style="9" customWidth="1"/>
    <col min="3851" max="3851" width="10.6640625" style="9" customWidth="1"/>
    <col min="3852" max="3852" width="12.88671875" style="9" customWidth="1"/>
    <col min="3853" max="3853" width="17.88671875" style="9" customWidth="1"/>
    <col min="3854" max="3854" width="3.44140625" style="9" customWidth="1"/>
    <col min="3855" max="3855" width="9.5546875" style="9" customWidth="1"/>
    <col min="3856" max="3859" width="9.109375" style="9" customWidth="1"/>
    <col min="3860" max="3860" width="12" style="9" customWidth="1"/>
    <col min="3861" max="3861" width="9.109375" style="9" customWidth="1"/>
    <col min="3862" max="3862" width="9.6640625" style="9" customWidth="1"/>
    <col min="3863" max="4096" width="8.88671875" style="9"/>
    <col min="4097" max="4097" width="8.5546875" style="9" customWidth="1"/>
    <col min="4098" max="4098" width="10.6640625" style="9" customWidth="1"/>
    <col min="4099" max="4099" width="15" style="9" customWidth="1"/>
    <col min="4100" max="4100" width="9.44140625" style="9" customWidth="1"/>
    <col min="4101" max="4101" width="8.109375" style="9" customWidth="1"/>
    <col min="4102" max="4102" width="11.44140625" style="9" customWidth="1"/>
    <col min="4103" max="4103" width="11.33203125" style="9" bestFit="1" customWidth="1"/>
    <col min="4104" max="4104" width="7.109375" style="9" customWidth="1"/>
    <col min="4105" max="4105" width="6.44140625" style="9" customWidth="1"/>
    <col min="4106" max="4106" width="13.44140625" style="9" customWidth="1"/>
    <col min="4107" max="4107" width="10.6640625" style="9" customWidth="1"/>
    <col min="4108" max="4108" width="12.88671875" style="9" customWidth="1"/>
    <col min="4109" max="4109" width="17.88671875" style="9" customWidth="1"/>
    <col min="4110" max="4110" width="3.44140625" style="9" customWidth="1"/>
    <col min="4111" max="4111" width="9.5546875" style="9" customWidth="1"/>
    <col min="4112" max="4115" width="9.109375" style="9" customWidth="1"/>
    <col min="4116" max="4116" width="12" style="9" customWidth="1"/>
    <col min="4117" max="4117" width="9.109375" style="9" customWidth="1"/>
    <col min="4118" max="4118" width="9.6640625" style="9" customWidth="1"/>
    <col min="4119" max="4352" width="8.88671875" style="9"/>
    <col min="4353" max="4353" width="8.5546875" style="9" customWidth="1"/>
    <col min="4354" max="4354" width="10.6640625" style="9" customWidth="1"/>
    <col min="4355" max="4355" width="15" style="9" customWidth="1"/>
    <col min="4356" max="4356" width="9.44140625" style="9" customWidth="1"/>
    <col min="4357" max="4357" width="8.109375" style="9" customWidth="1"/>
    <col min="4358" max="4358" width="11.44140625" style="9" customWidth="1"/>
    <col min="4359" max="4359" width="11.33203125" style="9" bestFit="1" customWidth="1"/>
    <col min="4360" max="4360" width="7.109375" style="9" customWidth="1"/>
    <col min="4361" max="4361" width="6.44140625" style="9" customWidth="1"/>
    <col min="4362" max="4362" width="13.44140625" style="9" customWidth="1"/>
    <col min="4363" max="4363" width="10.6640625" style="9" customWidth="1"/>
    <col min="4364" max="4364" width="12.88671875" style="9" customWidth="1"/>
    <col min="4365" max="4365" width="17.88671875" style="9" customWidth="1"/>
    <col min="4366" max="4366" width="3.44140625" style="9" customWidth="1"/>
    <col min="4367" max="4367" width="9.5546875" style="9" customWidth="1"/>
    <col min="4368" max="4371" width="9.109375" style="9" customWidth="1"/>
    <col min="4372" max="4372" width="12" style="9" customWidth="1"/>
    <col min="4373" max="4373" width="9.109375" style="9" customWidth="1"/>
    <col min="4374" max="4374" width="9.6640625" style="9" customWidth="1"/>
    <col min="4375" max="4608" width="8.88671875" style="9"/>
    <col min="4609" max="4609" width="8.5546875" style="9" customWidth="1"/>
    <col min="4610" max="4610" width="10.6640625" style="9" customWidth="1"/>
    <col min="4611" max="4611" width="15" style="9" customWidth="1"/>
    <col min="4612" max="4612" width="9.44140625" style="9" customWidth="1"/>
    <col min="4613" max="4613" width="8.109375" style="9" customWidth="1"/>
    <col min="4614" max="4614" width="11.44140625" style="9" customWidth="1"/>
    <col min="4615" max="4615" width="11.33203125" style="9" bestFit="1" customWidth="1"/>
    <col min="4616" max="4616" width="7.109375" style="9" customWidth="1"/>
    <col min="4617" max="4617" width="6.44140625" style="9" customWidth="1"/>
    <col min="4618" max="4618" width="13.44140625" style="9" customWidth="1"/>
    <col min="4619" max="4619" width="10.6640625" style="9" customWidth="1"/>
    <col min="4620" max="4620" width="12.88671875" style="9" customWidth="1"/>
    <col min="4621" max="4621" width="17.88671875" style="9" customWidth="1"/>
    <col min="4622" max="4622" width="3.44140625" style="9" customWidth="1"/>
    <col min="4623" max="4623" width="9.5546875" style="9" customWidth="1"/>
    <col min="4624" max="4627" width="9.109375" style="9" customWidth="1"/>
    <col min="4628" max="4628" width="12" style="9" customWidth="1"/>
    <col min="4629" max="4629" width="9.109375" style="9" customWidth="1"/>
    <col min="4630" max="4630" width="9.6640625" style="9" customWidth="1"/>
    <col min="4631" max="4864" width="8.88671875" style="9"/>
    <col min="4865" max="4865" width="8.5546875" style="9" customWidth="1"/>
    <col min="4866" max="4866" width="10.6640625" style="9" customWidth="1"/>
    <col min="4867" max="4867" width="15" style="9" customWidth="1"/>
    <col min="4868" max="4868" width="9.44140625" style="9" customWidth="1"/>
    <col min="4869" max="4869" width="8.109375" style="9" customWidth="1"/>
    <col min="4870" max="4870" width="11.44140625" style="9" customWidth="1"/>
    <col min="4871" max="4871" width="11.33203125" style="9" bestFit="1" customWidth="1"/>
    <col min="4872" max="4872" width="7.109375" style="9" customWidth="1"/>
    <col min="4873" max="4873" width="6.44140625" style="9" customWidth="1"/>
    <col min="4874" max="4874" width="13.44140625" style="9" customWidth="1"/>
    <col min="4875" max="4875" width="10.6640625" style="9" customWidth="1"/>
    <col min="4876" max="4876" width="12.88671875" style="9" customWidth="1"/>
    <col min="4877" max="4877" width="17.88671875" style="9" customWidth="1"/>
    <col min="4878" max="4878" width="3.44140625" style="9" customWidth="1"/>
    <col min="4879" max="4879" width="9.5546875" style="9" customWidth="1"/>
    <col min="4880" max="4883" width="9.109375" style="9" customWidth="1"/>
    <col min="4884" max="4884" width="12" style="9" customWidth="1"/>
    <col min="4885" max="4885" width="9.109375" style="9" customWidth="1"/>
    <col min="4886" max="4886" width="9.6640625" style="9" customWidth="1"/>
    <col min="4887" max="5120" width="8.88671875" style="9"/>
    <col min="5121" max="5121" width="8.5546875" style="9" customWidth="1"/>
    <col min="5122" max="5122" width="10.6640625" style="9" customWidth="1"/>
    <col min="5123" max="5123" width="15" style="9" customWidth="1"/>
    <col min="5124" max="5124" width="9.44140625" style="9" customWidth="1"/>
    <col min="5125" max="5125" width="8.109375" style="9" customWidth="1"/>
    <col min="5126" max="5126" width="11.44140625" style="9" customWidth="1"/>
    <col min="5127" max="5127" width="11.33203125" style="9" bestFit="1" customWidth="1"/>
    <col min="5128" max="5128" width="7.109375" style="9" customWidth="1"/>
    <col min="5129" max="5129" width="6.44140625" style="9" customWidth="1"/>
    <col min="5130" max="5130" width="13.44140625" style="9" customWidth="1"/>
    <col min="5131" max="5131" width="10.6640625" style="9" customWidth="1"/>
    <col min="5132" max="5132" width="12.88671875" style="9" customWidth="1"/>
    <col min="5133" max="5133" width="17.88671875" style="9" customWidth="1"/>
    <col min="5134" max="5134" width="3.44140625" style="9" customWidth="1"/>
    <col min="5135" max="5135" width="9.5546875" style="9" customWidth="1"/>
    <col min="5136" max="5139" width="9.109375" style="9" customWidth="1"/>
    <col min="5140" max="5140" width="12" style="9" customWidth="1"/>
    <col min="5141" max="5141" width="9.109375" style="9" customWidth="1"/>
    <col min="5142" max="5142" width="9.6640625" style="9" customWidth="1"/>
    <col min="5143" max="5376" width="8.88671875" style="9"/>
    <col min="5377" max="5377" width="8.5546875" style="9" customWidth="1"/>
    <col min="5378" max="5378" width="10.6640625" style="9" customWidth="1"/>
    <col min="5379" max="5379" width="15" style="9" customWidth="1"/>
    <col min="5380" max="5380" width="9.44140625" style="9" customWidth="1"/>
    <col min="5381" max="5381" width="8.109375" style="9" customWidth="1"/>
    <col min="5382" max="5382" width="11.44140625" style="9" customWidth="1"/>
    <col min="5383" max="5383" width="11.33203125" style="9" bestFit="1" customWidth="1"/>
    <col min="5384" max="5384" width="7.109375" style="9" customWidth="1"/>
    <col min="5385" max="5385" width="6.44140625" style="9" customWidth="1"/>
    <col min="5386" max="5386" width="13.44140625" style="9" customWidth="1"/>
    <col min="5387" max="5387" width="10.6640625" style="9" customWidth="1"/>
    <col min="5388" max="5388" width="12.88671875" style="9" customWidth="1"/>
    <col min="5389" max="5389" width="17.88671875" style="9" customWidth="1"/>
    <col min="5390" max="5390" width="3.44140625" style="9" customWidth="1"/>
    <col min="5391" max="5391" width="9.5546875" style="9" customWidth="1"/>
    <col min="5392" max="5395" width="9.109375" style="9" customWidth="1"/>
    <col min="5396" max="5396" width="12" style="9" customWidth="1"/>
    <col min="5397" max="5397" width="9.109375" style="9" customWidth="1"/>
    <col min="5398" max="5398" width="9.6640625" style="9" customWidth="1"/>
    <col min="5399" max="5632" width="8.88671875" style="9"/>
    <col min="5633" max="5633" width="8.5546875" style="9" customWidth="1"/>
    <col min="5634" max="5634" width="10.6640625" style="9" customWidth="1"/>
    <col min="5635" max="5635" width="15" style="9" customWidth="1"/>
    <col min="5636" max="5636" width="9.44140625" style="9" customWidth="1"/>
    <col min="5637" max="5637" width="8.109375" style="9" customWidth="1"/>
    <col min="5638" max="5638" width="11.44140625" style="9" customWidth="1"/>
    <col min="5639" max="5639" width="11.33203125" style="9" bestFit="1" customWidth="1"/>
    <col min="5640" max="5640" width="7.109375" style="9" customWidth="1"/>
    <col min="5641" max="5641" width="6.44140625" style="9" customWidth="1"/>
    <col min="5642" max="5642" width="13.44140625" style="9" customWidth="1"/>
    <col min="5643" max="5643" width="10.6640625" style="9" customWidth="1"/>
    <col min="5644" max="5644" width="12.88671875" style="9" customWidth="1"/>
    <col min="5645" max="5645" width="17.88671875" style="9" customWidth="1"/>
    <col min="5646" max="5646" width="3.44140625" style="9" customWidth="1"/>
    <col min="5647" max="5647" width="9.5546875" style="9" customWidth="1"/>
    <col min="5648" max="5651" width="9.109375" style="9" customWidth="1"/>
    <col min="5652" max="5652" width="12" style="9" customWidth="1"/>
    <col min="5653" max="5653" width="9.109375" style="9" customWidth="1"/>
    <col min="5654" max="5654" width="9.6640625" style="9" customWidth="1"/>
    <col min="5655" max="5888" width="8.88671875" style="9"/>
    <col min="5889" max="5889" width="8.5546875" style="9" customWidth="1"/>
    <col min="5890" max="5890" width="10.6640625" style="9" customWidth="1"/>
    <col min="5891" max="5891" width="15" style="9" customWidth="1"/>
    <col min="5892" max="5892" width="9.44140625" style="9" customWidth="1"/>
    <col min="5893" max="5893" width="8.109375" style="9" customWidth="1"/>
    <col min="5894" max="5894" width="11.44140625" style="9" customWidth="1"/>
    <col min="5895" max="5895" width="11.33203125" style="9" bestFit="1" customWidth="1"/>
    <col min="5896" max="5896" width="7.109375" style="9" customWidth="1"/>
    <col min="5897" max="5897" width="6.44140625" style="9" customWidth="1"/>
    <col min="5898" max="5898" width="13.44140625" style="9" customWidth="1"/>
    <col min="5899" max="5899" width="10.6640625" style="9" customWidth="1"/>
    <col min="5900" max="5900" width="12.88671875" style="9" customWidth="1"/>
    <col min="5901" max="5901" width="17.88671875" style="9" customWidth="1"/>
    <col min="5902" max="5902" width="3.44140625" style="9" customWidth="1"/>
    <col min="5903" max="5903" width="9.5546875" style="9" customWidth="1"/>
    <col min="5904" max="5907" width="9.109375" style="9" customWidth="1"/>
    <col min="5908" max="5908" width="12" style="9" customWidth="1"/>
    <col min="5909" max="5909" width="9.109375" style="9" customWidth="1"/>
    <col min="5910" max="5910" width="9.6640625" style="9" customWidth="1"/>
    <col min="5911" max="6144" width="8.88671875" style="9"/>
    <col min="6145" max="6145" width="8.5546875" style="9" customWidth="1"/>
    <col min="6146" max="6146" width="10.6640625" style="9" customWidth="1"/>
    <col min="6147" max="6147" width="15" style="9" customWidth="1"/>
    <col min="6148" max="6148" width="9.44140625" style="9" customWidth="1"/>
    <col min="6149" max="6149" width="8.109375" style="9" customWidth="1"/>
    <col min="6150" max="6150" width="11.44140625" style="9" customWidth="1"/>
    <col min="6151" max="6151" width="11.33203125" style="9" bestFit="1" customWidth="1"/>
    <col min="6152" max="6152" width="7.109375" style="9" customWidth="1"/>
    <col min="6153" max="6153" width="6.44140625" style="9" customWidth="1"/>
    <col min="6154" max="6154" width="13.44140625" style="9" customWidth="1"/>
    <col min="6155" max="6155" width="10.6640625" style="9" customWidth="1"/>
    <col min="6156" max="6156" width="12.88671875" style="9" customWidth="1"/>
    <col min="6157" max="6157" width="17.88671875" style="9" customWidth="1"/>
    <col min="6158" max="6158" width="3.44140625" style="9" customWidth="1"/>
    <col min="6159" max="6159" width="9.5546875" style="9" customWidth="1"/>
    <col min="6160" max="6163" width="9.109375" style="9" customWidth="1"/>
    <col min="6164" max="6164" width="12" style="9" customWidth="1"/>
    <col min="6165" max="6165" width="9.109375" style="9" customWidth="1"/>
    <col min="6166" max="6166" width="9.6640625" style="9" customWidth="1"/>
    <col min="6167" max="6400" width="8.88671875" style="9"/>
    <col min="6401" max="6401" width="8.5546875" style="9" customWidth="1"/>
    <col min="6402" max="6402" width="10.6640625" style="9" customWidth="1"/>
    <col min="6403" max="6403" width="15" style="9" customWidth="1"/>
    <col min="6404" max="6404" width="9.44140625" style="9" customWidth="1"/>
    <col min="6405" max="6405" width="8.109375" style="9" customWidth="1"/>
    <col min="6406" max="6406" width="11.44140625" style="9" customWidth="1"/>
    <col min="6407" max="6407" width="11.33203125" style="9" bestFit="1" customWidth="1"/>
    <col min="6408" max="6408" width="7.109375" style="9" customWidth="1"/>
    <col min="6409" max="6409" width="6.44140625" style="9" customWidth="1"/>
    <col min="6410" max="6410" width="13.44140625" style="9" customWidth="1"/>
    <col min="6411" max="6411" width="10.6640625" style="9" customWidth="1"/>
    <col min="6412" max="6412" width="12.88671875" style="9" customWidth="1"/>
    <col min="6413" max="6413" width="17.88671875" style="9" customWidth="1"/>
    <col min="6414" max="6414" width="3.44140625" style="9" customWidth="1"/>
    <col min="6415" max="6415" width="9.5546875" style="9" customWidth="1"/>
    <col min="6416" max="6419" width="9.109375" style="9" customWidth="1"/>
    <col min="6420" max="6420" width="12" style="9" customWidth="1"/>
    <col min="6421" max="6421" width="9.109375" style="9" customWidth="1"/>
    <col min="6422" max="6422" width="9.6640625" style="9" customWidth="1"/>
    <col min="6423" max="6656" width="8.88671875" style="9"/>
    <col min="6657" max="6657" width="8.5546875" style="9" customWidth="1"/>
    <col min="6658" max="6658" width="10.6640625" style="9" customWidth="1"/>
    <col min="6659" max="6659" width="15" style="9" customWidth="1"/>
    <col min="6660" max="6660" width="9.44140625" style="9" customWidth="1"/>
    <col min="6661" max="6661" width="8.109375" style="9" customWidth="1"/>
    <col min="6662" max="6662" width="11.44140625" style="9" customWidth="1"/>
    <col min="6663" max="6663" width="11.33203125" style="9" bestFit="1" customWidth="1"/>
    <col min="6664" max="6664" width="7.109375" style="9" customWidth="1"/>
    <col min="6665" max="6665" width="6.44140625" style="9" customWidth="1"/>
    <col min="6666" max="6666" width="13.44140625" style="9" customWidth="1"/>
    <col min="6667" max="6667" width="10.6640625" style="9" customWidth="1"/>
    <col min="6668" max="6668" width="12.88671875" style="9" customWidth="1"/>
    <col min="6669" max="6669" width="17.88671875" style="9" customWidth="1"/>
    <col min="6670" max="6670" width="3.44140625" style="9" customWidth="1"/>
    <col min="6671" max="6671" width="9.5546875" style="9" customWidth="1"/>
    <col min="6672" max="6675" width="9.109375" style="9" customWidth="1"/>
    <col min="6676" max="6676" width="12" style="9" customWidth="1"/>
    <col min="6677" max="6677" width="9.109375" style="9" customWidth="1"/>
    <col min="6678" max="6678" width="9.6640625" style="9" customWidth="1"/>
    <col min="6679" max="6912" width="8.88671875" style="9"/>
    <col min="6913" max="6913" width="8.5546875" style="9" customWidth="1"/>
    <col min="6914" max="6914" width="10.6640625" style="9" customWidth="1"/>
    <col min="6915" max="6915" width="15" style="9" customWidth="1"/>
    <col min="6916" max="6916" width="9.44140625" style="9" customWidth="1"/>
    <col min="6917" max="6917" width="8.109375" style="9" customWidth="1"/>
    <col min="6918" max="6918" width="11.44140625" style="9" customWidth="1"/>
    <col min="6919" max="6919" width="11.33203125" style="9" bestFit="1" customWidth="1"/>
    <col min="6920" max="6920" width="7.109375" style="9" customWidth="1"/>
    <col min="6921" max="6921" width="6.44140625" style="9" customWidth="1"/>
    <col min="6922" max="6922" width="13.44140625" style="9" customWidth="1"/>
    <col min="6923" max="6923" width="10.6640625" style="9" customWidth="1"/>
    <col min="6924" max="6924" width="12.88671875" style="9" customWidth="1"/>
    <col min="6925" max="6925" width="17.88671875" style="9" customWidth="1"/>
    <col min="6926" max="6926" width="3.44140625" style="9" customWidth="1"/>
    <col min="6927" max="6927" width="9.5546875" style="9" customWidth="1"/>
    <col min="6928" max="6931" width="9.109375" style="9" customWidth="1"/>
    <col min="6932" max="6932" width="12" style="9" customWidth="1"/>
    <col min="6933" max="6933" width="9.109375" style="9" customWidth="1"/>
    <col min="6934" max="6934" width="9.6640625" style="9" customWidth="1"/>
    <col min="6935" max="7168" width="8.88671875" style="9"/>
    <col min="7169" max="7169" width="8.5546875" style="9" customWidth="1"/>
    <col min="7170" max="7170" width="10.6640625" style="9" customWidth="1"/>
    <col min="7171" max="7171" width="15" style="9" customWidth="1"/>
    <col min="7172" max="7172" width="9.44140625" style="9" customWidth="1"/>
    <col min="7173" max="7173" width="8.109375" style="9" customWidth="1"/>
    <col min="7174" max="7174" width="11.44140625" style="9" customWidth="1"/>
    <col min="7175" max="7175" width="11.33203125" style="9" bestFit="1" customWidth="1"/>
    <col min="7176" max="7176" width="7.109375" style="9" customWidth="1"/>
    <col min="7177" max="7177" width="6.44140625" style="9" customWidth="1"/>
    <col min="7178" max="7178" width="13.44140625" style="9" customWidth="1"/>
    <col min="7179" max="7179" width="10.6640625" style="9" customWidth="1"/>
    <col min="7180" max="7180" width="12.88671875" style="9" customWidth="1"/>
    <col min="7181" max="7181" width="17.88671875" style="9" customWidth="1"/>
    <col min="7182" max="7182" width="3.44140625" style="9" customWidth="1"/>
    <col min="7183" max="7183" width="9.5546875" style="9" customWidth="1"/>
    <col min="7184" max="7187" width="9.109375" style="9" customWidth="1"/>
    <col min="7188" max="7188" width="12" style="9" customWidth="1"/>
    <col min="7189" max="7189" width="9.109375" style="9" customWidth="1"/>
    <col min="7190" max="7190" width="9.6640625" style="9" customWidth="1"/>
    <col min="7191" max="7424" width="8.88671875" style="9"/>
    <col min="7425" max="7425" width="8.5546875" style="9" customWidth="1"/>
    <col min="7426" max="7426" width="10.6640625" style="9" customWidth="1"/>
    <col min="7427" max="7427" width="15" style="9" customWidth="1"/>
    <col min="7428" max="7428" width="9.44140625" style="9" customWidth="1"/>
    <col min="7429" max="7429" width="8.109375" style="9" customWidth="1"/>
    <col min="7430" max="7430" width="11.44140625" style="9" customWidth="1"/>
    <col min="7431" max="7431" width="11.33203125" style="9" bestFit="1" customWidth="1"/>
    <col min="7432" max="7432" width="7.109375" style="9" customWidth="1"/>
    <col min="7433" max="7433" width="6.44140625" style="9" customWidth="1"/>
    <col min="7434" max="7434" width="13.44140625" style="9" customWidth="1"/>
    <col min="7435" max="7435" width="10.6640625" style="9" customWidth="1"/>
    <col min="7436" max="7436" width="12.88671875" style="9" customWidth="1"/>
    <col min="7437" max="7437" width="17.88671875" style="9" customWidth="1"/>
    <col min="7438" max="7438" width="3.44140625" style="9" customWidth="1"/>
    <col min="7439" max="7439" width="9.5546875" style="9" customWidth="1"/>
    <col min="7440" max="7443" width="9.109375" style="9" customWidth="1"/>
    <col min="7444" max="7444" width="12" style="9" customWidth="1"/>
    <col min="7445" max="7445" width="9.109375" style="9" customWidth="1"/>
    <col min="7446" max="7446" width="9.6640625" style="9" customWidth="1"/>
    <col min="7447" max="7680" width="8.88671875" style="9"/>
    <col min="7681" max="7681" width="8.5546875" style="9" customWidth="1"/>
    <col min="7682" max="7682" width="10.6640625" style="9" customWidth="1"/>
    <col min="7683" max="7683" width="15" style="9" customWidth="1"/>
    <col min="7684" max="7684" width="9.44140625" style="9" customWidth="1"/>
    <col min="7685" max="7685" width="8.109375" style="9" customWidth="1"/>
    <col min="7686" max="7686" width="11.44140625" style="9" customWidth="1"/>
    <col min="7687" max="7687" width="11.33203125" style="9" bestFit="1" customWidth="1"/>
    <col min="7688" max="7688" width="7.109375" style="9" customWidth="1"/>
    <col min="7689" max="7689" width="6.44140625" style="9" customWidth="1"/>
    <col min="7690" max="7690" width="13.44140625" style="9" customWidth="1"/>
    <col min="7691" max="7691" width="10.6640625" style="9" customWidth="1"/>
    <col min="7692" max="7692" width="12.88671875" style="9" customWidth="1"/>
    <col min="7693" max="7693" width="17.88671875" style="9" customWidth="1"/>
    <col min="7694" max="7694" width="3.44140625" style="9" customWidth="1"/>
    <col min="7695" max="7695" width="9.5546875" style="9" customWidth="1"/>
    <col min="7696" max="7699" width="9.109375" style="9" customWidth="1"/>
    <col min="7700" max="7700" width="12" style="9" customWidth="1"/>
    <col min="7701" max="7701" width="9.109375" style="9" customWidth="1"/>
    <col min="7702" max="7702" width="9.6640625" style="9" customWidth="1"/>
    <col min="7703" max="7936" width="8.88671875" style="9"/>
    <col min="7937" max="7937" width="8.5546875" style="9" customWidth="1"/>
    <col min="7938" max="7938" width="10.6640625" style="9" customWidth="1"/>
    <col min="7939" max="7939" width="15" style="9" customWidth="1"/>
    <col min="7940" max="7940" width="9.44140625" style="9" customWidth="1"/>
    <col min="7941" max="7941" width="8.109375" style="9" customWidth="1"/>
    <col min="7942" max="7942" width="11.44140625" style="9" customWidth="1"/>
    <col min="7943" max="7943" width="11.33203125" style="9" bestFit="1" customWidth="1"/>
    <col min="7944" max="7944" width="7.109375" style="9" customWidth="1"/>
    <col min="7945" max="7945" width="6.44140625" style="9" customWidth="1"/>
    <col min="7946" max="7946" width="13.44140625" style="9" customWidth="1"/>
    <col min="7947" max="7947" width="10.6640625" style="9" customWidth="1"/>
    <col min="7948" max="7948" width="12.88671875" style="9" customWidth="1"/>
    <col min="7949" max="7949" width="17.88671875" style="9" customWidth="1"/>
    <col min="7950" max="7950" width="3.44140625" style="9" customWidth="1"/>
    <col min="7951" max="7951" width="9.5546875" style="9" customWidth="1"/>
    <col min="7952" max="7955" width="9.109375" style="9" customWidth="1"/>
    <col min="7956" max="7956" width="12" style="9" customWidth="1"/>
    <col min="7957" max="7957" width="9.109375" style="9" customWidth="1"/>
    <col min="7958" max="7958" width="9.6640625" style="9" customWidth="1"/>
    <col min="7959" max="8192" width="8.88671875" style="9"/>
    <col min="8193" max="8193" width="8.5546875" style="9" customWidth="1"/>
    <col min="8194" max="8194" width="10.6640625" style="9" customWidth="1"/>
    <col min="8195" max="8195" width="15" style="9" customWidth="1"/>
    <col min="8196" max="8196" width="9.44140625" style="9" customWidth="1"/>
    <col min="8197" max="8197" width="8.109375" style="9" customWidth="1"/>
    <col min="8198" max="8198" width="11.44140625" style="9" customWidth="1"/>
    <col min="8199" max="8199" width="11.33203125" style="9" bestFit="1" customWidth="1"/>
    <col min="8200" max="8200" width="7.109375" style="9" customWidth="1"/>
    <col min="8201" max="8201" width="6.44140625" style="9" customWidth="1"/>
    <col min="8202" max="8202" width="13.44140625" style="9" customWidth="1"/>
    <col min="8203" max="8203" width="10.6640625" style="9" customWidth="1"/>
    <col min="8204" max="8204" width="12.88671875" style="9" customWidth="1"/>
    <col min="8205" max="8205" width="17.88671875" style="9" customWidth="1"/>
    <col min="8206" max="8206" width="3.44140625" style="9" customWidth="1"/>
    <col min="8207" max="8207" width="9.5546875" style="9" customWidth="1"/>
    <col min="8208" max="8211" width="9.109375" style="9" customWidth="1"/>
    <col min="8212" max="8212" width="12" style="9" customWidth="1"/>
    <col min="8213" max="8213" width="9.109375" style="9" customWidth="1"/>
    <col min="8214" max="8214" width="9.6640625" style="9" customWidth="1"/>
    <col min="8215" max="8448" width="8.88671875" style="9"/>
    <col min="8449" max="8449" width="8.5546875" style="9" customWidth="1"/>
    <col min="8450" max="8450" width="10.6640625" style="9" customWidth="1"/>
    <col min="8451" max="8451" width="15" style="9" customWidth="1"/>
    <col min="8452" max="8452" width="9.44140625" style="9" customWidth="1"/>
    <col min="8453" max="8453" width="8.109375" style="9" customWidth="1"/>
    <col min="8454" max="8454" width="11.44140625" style="9" customWidth="1"/>
    <col min="8455" max="8455" width="11.33203125" style="9" bestFit="1" customWidth="1"/>
    <col min="8456" max="8456" width="7.109375" style="9" customWidth="1"/>
    <col min="8457" max="8457" width="6.44140625" style="9" customWidth="1"/>
    <col min="8458" max="8458" width="13.44140625" style="9" customWidth="1"/>
    <col min="8459" max="8459" width="10.6640625" style="9" customWidth="1"/>
    <col min="8460" max="8460" width="12.88671875" style="9" customWidth="1"/>
    <col min="8461" max="8461" width="17.88671875" style="9" customWidth="1"/>
    <col min="8462" max="8462" width="3.44140625" style="9" customWidth="1"/>
    <col min="8463" max="8463" width="9.5546875" style="9" customWidth="1"/>
    <col min="8464" max="8467" width="9.109375" style="9" customWidth="1"/>
    <col min="8468" max="8468" width="12" style="9" customWidth="1"/>
    <col min="8469" max="8469" width="9.109375" style="9" customWidth="1"/>
    <col min="8470" max="8470" width="9.6640625" style="9" customWidth="1"/>
    <col min="8471" max="8704" width="8.88671875" style="9"/>
    <col min="8705" max="8705" width="8.5546875" style="9" customWidth="1"/>
    <col min="8706" max="8706" width="10.6640625" style="9" customWidth="1"/>
    <col min="8707" max="8707" width="15" style="9" customWidth="1"/>
    <col min="8708" max="8708" width="9.44140625" style="9" customWidth="1"/>
    <col min="8709" max="8709" width="8.109375" style="9" customWidth="1"/>
    <col min="8710" max="8710" width="11.44140625" style="9" customWidth="1"/>
    <col min="8711" max="8711" width="11.33203125" style="9" bestFit="1" customWidth="1"/>
    <col min="8712" max="8712" width="7.109375" style="9" customWidth="1"/>
    <col min="8713" max="8713" width="6.44140625" style="9" customWidth="1"/>
    <col min="8714" max="8714" width="13.44140625" style="9" customWidth="1"/>
    <col min="8715" max="8715" width="10.6640625" style="9" customWidth="1"/>
    <col min="8716" max="8716" width="12.88671875" style="9" customWidth="1"/>
    <col min="8717" max="8717" width="17.88671875" style="9" customWidth="1"/>
    <col min="8718" max="8718" width="3.44140625" style="9" customWidth="1"/>
    <col min="8719" max="8719" width="9.5546875" style="9" customWidth="1"/>
    <col min="8720" max="8723" width="9.109375" style="9" customWidth="1"/>
    <col min="8724" max="8724" width="12" style="9" customWidth="1"/>
    <col min="8725" max="8725" width="9.109375" style="9" customWidth="1"/>
    <col min="8726" max="8726" width="9.6640625" style="9" customWidth="1"/>
    <col min="8727" max="8960" width="8.88671875" style="9"/>
    <col min="8961" max="8961" width="8.5546875" style="9" customWidth="1"/>
    <col min="8962" max="8962" width="10.6640625" style="9" customWidth="1"/>
    <col min="8963" max="8963" width="15" style="9" customWidth="1"/>
    <col min="8964" max="8964" width="9.44140625" style="9" customWidth="1"/>
    <col min="8965" max="8965" width="8.109375" style="9" customWidth="1"/>
    <col min="8966" max="8966" width="11.44140625" style="9" customWidth="1"/>
    <col min="8967" max="8967" width="11.33203125" style="9" bestFit="1" customWidth="1"/>
    <col min="8968" max="8968" width="7.109375" style="9" customWidth="1"/>
    <col min="8969" max="8969" width="6.44140625" style="9" customWidth="1"/>
    <col min="8970" max="8970" width="13.44140625" style="9" customWidth="1"/>
    <col min="8971" max="8971" width="10.6640625" style="9" customWidth="1"/>
    <col min="8972" max="8972" width="12.88671875" style="9" customWidth="1"/>
    <col min="8973" max="8973" width="17.88671875" style="9" customWidth="1"/>
    <col min="8974" max="8974" width="3.44140625" style="9" customWidth="1"/>
    <col min="8975" max="8975" width="9.5546875" style="9" customWidth="1"/>
    <col min="8976" max="8979" width="9.109375" style="9" customWidth="1"/>
    <col min="8980" max="8980" width="12" style="9" customWidth="1"/>
    <col min="8981" max="8981" width="9.109375" style="9" customWidth="1"/>
    <col min="8982" max="8982" width="9.6640625" style="9" customWidth="1"/>
    <col min="8983" max="9216" width="8.88671875" style="9"/>
    <col min="9217" max="9217" width="8.5546875" style="9" customWidth="1"/>
    <col min="9218" max="9218" width="10.6640625" style="9" customWidth="1"/>
    <col min="9219" max="9219" width="15" style="9" customWidth="1"/>
    <col min="9220" max="9220" width="9.44140625" style="9" customWidth="1"/>
    <col min="9221" max="9221" width="8.109375" style="9" customWidth="1"/>
    <col min="9222" max="9222" width="11.44140625" style="9" customWidth="1"/>
    <col min="9223" max="9223" width="11.33203125" style="9" bestFit="1" customWidth="1"/>
    <col min="9224" max="9224" width="7.109375" style="9" customWidth="1"/>
    <col min="9225" max="9225" width="6.44140625" style="9" customWidth="1"/>
    <col min="9226" max="9226" width="13.44140625" style="9" customWidth="1"/>
    <col min="9227" max="9227" width="10.6640625" style="9" customWidth="1"/>
    <col min="9228" max="9228" width="12.88671875" style="9" customWidth="1"/>
    <col min="9229" max="9229" width="17.88671875" style="9" customWidth="1"/>
    <col min="9230" max="9230" width="3.44140625" style="9" customWidth="1"/>
    <col min="9231" max="9231" width="9.5546875" style="9" customWidth="1"/>
    <col min="9232" max="9235" width="9.109375" style="9" customWidth="1"/>
    <col min="9236" max="9236" width="12" style="9" customWidth="1"/>
    <col min="9237" max="9237" width="9.109375" style="9" customWidth="1"/>
    <col min="9238" max="9238" width="9.6640625" style="9" customWidth="1"/>
    <col min="9239" max="9472" width="8.88671875" style="9"/>
    <col min="9473" max="9473" width="8.5546875" style="9" customWidth="1"/>
    <col min="9474" max="9474" width="10.6640625" style="9" customWidth="1"/>
    <col min="9475" max="9475" width="15" style="9" customWidth="1"/>
    <col min="9476" max="9476" width="9.44140625" style="9" customWidth="1"/>
    <col min="9477" max="9477" width="8.109375" style="9" customWidth="1"/>
    <col min="9478" max="9478" width="11.44140625" style="9" customWidth="1"/>
    <col min="9479" max="9479" width="11.33203125" style="9" bestFit="1" customWidth="1"/>
    <col min="9480" max="9480" width="7.109375" style="9" customWidth="1"/>
    <col min="9481" max="9481" width="6.44140625" style="9" customWidth="1"/>
    <col min="9482" max="9482" width="13.44140625" style="9" customWidth="1"/>
    <col min="9483" max="9483" width="10.6640625" style="9" customWidth="1"/>
    <col min="9484" max="9484" width="12.88671875" style="9" customWidth="1"/>
    <col min="9485" max="9485" width="17.88671875" style="9" customWidth="1"/>
    <col min="9486" max="9486" width="3.44140625" style="9" customWidth="1"/>
    <col min="9487" max="9487" width="9.5546875" style="9" customWidth="1"/>
    <col min="9488" max="9491" width="9.109375" style="9" customWidth="1"/>
    <col min="9492" max="9492" width="12" style="9" customWidth="1"/>
    <col min="9493" max="9493" width="9.109375" style="9" customWidth="1"/>
    <col min="9494" max="9494" width="9.6640625" style="9" customWidth="1"/>
    <col min="9495" max="9728" width="8.88671875" style="9"/>
    <col min="9729" max="9729" width="8.5546875" style="9" customWidth="1"/>
    <col min="9730" max="9730" width="10.6640625" style="9" customWidth="1"/>
    <col min="9731" max="9731" width="15" style="9" customWidth="1"/>
    <col min="9732" max="9732" width="9.44140625" style="9" customWidth="1"/>
    <col min="9733" max="9733" width="8.109375" style="9" customWidth="1"/>
    <col min="9734" max="9734" width="11.44140625" style="9" customWidth="1"/>
    <col min="9735" max="9735" width="11.33203125" style="9" bestFit="1" customWidth="1"/>
    <col min="9736" max="9736" width="7.109375" style="9" customWidth="1"/>
    <col min="9737" max="9737" width="6.44140625" style="9" customWidth="1"/>
    <col min="9738" max="9738" width="13.44140625" style="9" customWidth="1"/>
    <col min="9739" max="9739" width="10.6640625" style="9" customWidth="1"/>
    <col min="9740" max="9740" width="12.88671875" style="9" customWidth="1"/>
    <col min="9741" max="9741" width="17.88671875" style="9" customWidth="1"/>
    <col min="9742" max="9742" width="3.44140625" style="9" customWidth="1"/>
    <col min="9743" max="9743" width="9.5546875" style="9" customWidth="1"/>
    <col min="9744" max="9747" width="9.109375" style="9" customWidth="1"/>
    <col min="9748" max="9748" width="12" style="9" customWidth="1"/>
    <col min="9749" max="9749" width="9.109375" style="9" customWidth="1"/>
    <col min="9750" max="9750" width="9.6640625" style="9" customWidth="1"/>
    <col min="9751" max="9984" width="8.88671875" style="9"/>
    <col min="9985" max="9985" width="8.5546875" style="9" customWidth="1"/>
    <col min="9986" max="9986" width="10.6640625" style="9" customWidth="1"/>
    <col min="9987" max="9987" width="15" style="9" customWidth="1"/>
    <col min="9988" max="9988" width="9.44140625" style="9" customWidth="1"/>
    <col min="9989" max="9989" width="8.109375" style="9" customWidth="1"/>
    <col min="9990" max="9990" width="11.44140625" style="9" customWidth="1"/>
    <col min="9991" max="9991" width="11.33203125" style="9" bestFit="1" customWidth="1"/>
    <col min="9992" max="9992" width="7.109375" style="9" customWidth="1"/>
    <col min="9993" max="9993" width="6.44140625" style="9" customWidth="1"/>
    <col min="9994" max="9994" width="13.44140625" style="9" customWidth="1"/>
    <col min="9995" max="9995" width="10.6640625" style="9" customWidth="1"/>
    <col min="9996" max="9996" width="12.88671875" style="9" customWidth="1"/>
    <col min="9997" max="9997" width="17.88671875" style="9" customWidth="1"/>
    <col min="9998" max="9998" width="3.44140625" style="9" customWidth="1"/>
    <col min="9999" max="9999" width="9.5546875" style="9" customWidth="1"/>
    <col min="10000" max="10003" width="9.109375" style="9" customWidth="1"/>
    <col min="10004" max="10004" width="12" style="9" customWidth="1"/>
    <col min="10005" max="10005" width="9.109375" style="9" customWidth="1"/>
    <col min="10006" max="10006" width="9.6640625" style="9" customWidth="1"/>
    <col min="10007" max="10240" width="8.88671875" style="9"/>
    <col min="10241" max="10241" width="8.5546875" style="9" customWidth="1"/>
    <col min="10242" max="10242" width="10.6640625" style="9" customWidth="1"/>
    <col min="10243" max="10243" width="15" style="9" customWidth="1"/>
    <col min="10244" max="10244" width="9.44140625" style="9" customWidth="1"/>
    <col min="10245" max="10245" width="8.109375" style="9" customWidth="1"/>
    <col min="10246" max="10246" width="11.44140625" style="9" customWidth="1"/>
    <col min="10247" max="10247" width="11.33203125" style="9" bestFit="1" customWidth="1"/>
    <col min="10248" max="10248" width="7.109375" style="9" customWidth="1"/>
    <col min="10249" max="10249" width="6.44140625" style="9" customWidth="1"/>
    <col min="10250" max="10250" width="13.44140625" style="9" customWidth="1"/>
    <col min="10251" max="10251" width="10.6640625" style="9" customWidth="1"/>
    <col min="10252" max="10252" width="12.88671875" style="9" customWidth="1"/>
    <col min="10253" max="10253" width="17.88671875" style="9" customWidth="1"/>
    <col min="10254" max="10254" width="3.44140625" style="9" customWidth="1"/>
    <col min="10255" max="10255" width="9.5546875" style="9" customWidth="1"/>
    <col min="10256" max="10259" width="9.109375" style="9" customWidth="1"/>
    <col min="10260" max="10260" width="12" style="9" customWidth="1"/>
    <col min="10261" max="10261" width="9.109375" style="9" customWidth="1"/>
    <col min="10262" max="10262" width="9.6640625" style="9" customWidth="1"/>
    <col min="10263" max="10496" width="8.88671875" style="9"/>
    <col min="10497" max="10497" width="8.5546875" style="9" customWidth="1"/>
    <col min="10498" max="10498" width="10.6640625" style="9" customWidth="1"/>
    <col min="10499" max="10499" width="15" style="9" customWidth="1"/>
    <col min="10500" max="10500" width="9.44140625" style="9" customWidth="1"/>
    <col min="10501" max="10501" width="8.109375" style="9" customWidth="1"/>
    <col min="10502" max="10502" width="11.44140625" style="9" customWidth="1"/>
    <col min="10503" max="10503" width="11.33203125" style="9" bestFit="1" customWidth="1"/>
    <col min="10504" max="10504" width="7.109375" style="9" customWidth="1"/>
    <col min="10505" max="10505" width="6.44140625" style="9" customWidth="1"/>
    <col min="10506" max="10506" width="13.44140625" style="9" customWidth="1"/>
    <col min="10507" max="10507" width="10.6640625" style="9" customWidth="1"/>
    <col min="10508" max="10508" width="12.88671875" style="9" customWidth="1"/>
    <col min="10509" max="10509" width="17.88671875" style="9" customWidth="1"/>
    <col min="10510" max="10510" width="3.44140625" style="9" customWidth="1"/>
    <col min="10511" max="10511" width="9.5546875" style="9" customWidth="1"/>
    <col min="10512" max="10515" width="9.109375" style="9" customWidth="1"/>
    <col min="10516" max="10516" width="12" style="9" customWidth="1"/>
    <col min="10517" max="10517" width="9.109375" style="9" customWidth="1"/>
    <col min="10518" max="10518" width="9.6640625" style="9" customWidth="1"/>
    <col min="10519" max="10752" width="8.88671875" style="9"/>
    <col min="10753" max="10753" width="8.5546875" style="9" customWidth="1"/>
    <col min="10754" max="10754" width="10.6640625" style="9" customWidth="1"/>
    <col min="10755" max="10755" width="15" style="9" customWidth="1"/>
    <col min="10756" max="10756" width="9.44140625" style="9" customWidth="1"/>
    <col min="10757" max="10757" width="8.109375" style="9" customWidth="1"/>
    <col min="10758" max="10758" width="11.44140625" style="9" customWidth="1"/>
    <col min="10759" max="10759" width="11.33203125" style="9" bestFit="1" customWidth="1"/>
    <col min="10760" max="10760" width="7.109375" style="9" customWidth="1"/>
    <col min="10761" max="10761" width="6.44140625" style="9" customWidth="1"/>
    <col min="10762" max="10762" width="13.44140625" style="9" customWidth="1"/>
    <col min="10763" max="10763" width="10.6640625" style="9" customWidth="1"/>
    <col min="10764" max="10764" width="12.88671875" style="9" customWidth="1"/>
    <col min="10765" max="10765" width="17.88671875" style="9" customWidth="1"/>
    <col min="10766" max="10766" width="3.44140625" style="9" customWidth="1"/>
    <col min="10767" max="10767" width="9.5546875" style="9" customWidth="1"/>
    <col min="10768" max="10771" width="9.109375" style="9" customWidth="1"/>
    <col min="10772" max="10772" width="12" style="9" customWidth="1"/>
    <col min="10773" max="10773" width="9.109375" style="9" customWidth="1"/>
    <col min="10774" max="10774" width="9.6640625" style="9" customWidth="1"/>
    <col min="10775" max="11008" width="8.88671875" style="9"/>
    <col min="11009" max="11009" width="8.5546875" style="9" customWidth="1"/>
    <col min="11010" max="11010" width="10.6640625" style="9" customWidth="1"/>
    <col min="11011" max="11011" width="15" style="9" customWidth="1"/>
    <col min="11012" max="11012" width="9.44140625" style="9" customWidth="1"/>
    <col min="11013" max="11013" width="8.109375" style="9" customWidth="1"/>
    <col min="11014" max="11014" width="11.44140625" style="9" customWidth="1"/>
    <col min="11015" max="11015" width="11.33203125" style="9" bestFit="1" customWidth="1"/>
    <col min="11016" max="11016" width="7.109375" style="9" customWidth="1"/>
    <col min="11017" max="11017" width="6.44140625" style="9" customWidth="1"/>
    <col min="11018" max="11018" width="13.44140625" style="9" customWidth="1"/>
    <col min="11019" max="11019" width="10.6640625" style="9" customWidth="1"/>
    <col min="11020" max="11020" width="12.88671875" style="9" customWidth="1"/>
    <col min="11021" max="11021" width="17.88671875" style="9" customWidth="1"/>
    <col min="11022" max="11022" width="3.44140625" style="9" customWidth="1"/>
    <col min="11023" max="11023" width="9.5546875" style="9" customWidth="1"/>
    <col min="11024" max="11027" width="9.109375" style="9" customWidth="1"/>
    <col min="11028" max="11028" width="12" style="9" customWidth="1"/>
    <col min="11029" max="11029" width="9.109375" style="9" customWidth="1"/>
    <col min="11030" max="11030" width="9.6640625" style="9" customWidth="1"/>
    <col min="11031" max="11264" width="8.88671875" style="9"/>
    <col min="11265" max="11265" width="8.5546875" style="9" customWidth="1"/>
    <col min="11266" max="11266" width="10.6640625" style="9" customWidth="1"/>
    <col min="11267" max="11267" width="15" style="9" customWidth="1"/>
    <col min="11268" max="11268" width="9.44140625" style="9" customWidth="1"/>
    <col min="11269" max="11269" width="8.109375" style="9" customWidth="1"/>
    <col min="11270" max="11270" width="11.44140625" style="9" customWidth="1"/>
    <col min="11271" max="11271" width="11.33203125" style="9" bestFit="1" customWidth="1"/>
    <col min="11272" max="11272" width="7.109375" style="9" customWidth="1"/>
    <col min="11273" max="11273" width="6.44140625" style="9" customWidth="1"/>
    <col min="11274" max="11274" width="13.44140625" style="9" customWidth="1"/>
    <col min="11275" max="11275" width="10.6640625" style="9" customWidth="1"/>
    <col min="11276" max="11276" width="12.88671875" style="9" customWidth="1"/>
    <col min="11277" max="11277" width="17.88671875" style="9" customWidth="1"/>
    <col min="11278" max="11278" width="3.44140625" style="9" customWidth="1"/>
    <col min="11279" max="11279" width="9.5546875" style="9" customWidth="1"/>
    <col min="11280" max="11283" width="9.109375" style="9" customWidth="1"/>
    <col min="11284" max="11284" width="12" style="9" customWidth="1"/>
    <col min="11285" max="11285" width="9.109375" style="9" customWidth="1"/>
    <col min="11286" max="11286" width="9.6640625" style="9" customWidth="1"/>
    <col min="11287" max="11520" width="8.88671875" style="9"/>
    <col min="11521" max="11521" width="8.5546875" style="9" customWidth="1"/>
    <col min="11522" max="11522" width="10.6640625" style="9" customWidth="1"/>
    <col min="11523" max="11523" width="15" style="9" customWidth="1"/>
    <col min="11524" max="11524" width="9.44140625" style="9" customWidth="1"/>
    <col min="11525" max="11525" width="8.109375" style="9" customWidth="1"/>
    <col min="11526" max="11526" width="11.44140625" style="9" customWidth="1"/>
    <col min="11527" max="11527" width="11.33203125" style="9" bestFit="1" customWidth="1"/>
    <col min="11528" max="11528" width="7.109375" style="9" customWidth="1"/>
    <col min="11529" max="11529" width="6.44140625" style="9" customWidth="1"/>
    <col min="11530" max="11530" width="13.44140625" style="9" customWidth="1"/>
    <col min="11531" max="11531" width="10.6640625" style="9" customWidth="1"/>
    <col min="11532" max="11532" width="12.88671875" style="9" customWidth="1"/>
    <col min="11533" max="11533" width="17.88671875" style="9" customWidth="1"/>
    <col min="11534" max="11534" width="3.44140625" style="9" customWidth="1"/>
    <col min="11535" max="11535" width="9.5546875" style="9" customWidth="1"/>
    <col min="11536" max="11539" width="9.109375" style="9" customWidth="1"/>
    <col min="11540" max="11540" width="12" style="9" customWidth="1"/>
    <col min="11541" max="11541" width="9.109375" style="9" customWidth="1"/>
    <col min="11542" max="11542" width="9.6640625" style="9" customWidth="1"/>
    <col min="11543" max="11776" width="8.88671875" style="9"/>
    <col min="11777" max="11777" width="8.5546875" style="9" customWidth="1"/>
    <col min="11778" max="11778" width="10.6640625" style="9" customWidth="1"/>
    <col min="11779" max="11779" width="15" style="9" customWidth="1"/>
    <col min="11780" max="11780" width="9.44140625" style="9" customWidth="1"/>
    <col min="11781" max="11781" width="8.109375" style="9" customWidth="1"/>
    <col min="11782" max="11782" width="11.44140625" style="9" customWidth="1"/>
    <col min="11783" max="11783" width="11.33203125" style="9" bestFit="1" customWidth="1"/>
    <col min="11784" max="11784" width="7.109375" style="9" customWidth="1"/>
    <col min="11785" max="11785" width="6.44140625" style="9" customWidth="1"/>
    <col min="11786" max="11786" width="13.44140625" style="9" customWidth="1"/>
    <col min="11787" max="11787" width="10.6640625" style="9" customWidth="1"/>
    <col min="11788" max="11788" width="12.88671875" style="9" customWidth="1"/>
    <col min="11789" max="11789" width="17.88671875" style="9" customWidth="1"/>
    <col min="11790" max="11790" width="3.44140625" style="9" customWidth="1"/>
    <col min="11791" max="11791" width="9.5546875" style="9" customWidth="1"/>
    <col min="11792" max="11795" width="9.109375" style="9" customWidth="1"/>
    <col min="11796" max="11796" width="12" style="9" customWidth="1"/>
    <col min="11797" max="11797" width="9.109375" style="9" customWidth="1"/>
    <col min="11798" max="11798" width="9.6640625" style="9" customWidth="1"/>
    <col min="11799" max="12032" width="8.88671875" style="9"/>
    <col min="12033" max="12033" width="8.5546875" style="9" customWidth="1"/>
    <col min="12034" max="12034" width="10.6640625" style="9" customWidth="1"/>
    <col min="12035" max="12035" width="15" style="9" customWidth="1"/>
    <col min="12036" max="12036" width="9.44140625" style="9" customWidth="1"/>
    <col min="12037" max="12037" width="8.109375" style="9" customWidth="1"/>
    <col min="12038" max="12038" width="11.44140625" style="9" customWidth="1"/>
    <col min="12039" max="12039" width="11.33203125" style="9" bestFit="1" customWidth="1"/>
    <col min="12040" max="12040" width="7.109375" style="9" customWidth="1"/>
    <col min="12041" max="12041" width="6.44140625" style="9" customWidth="1"/>
    <col min="12042" max="12042" width="13.44140625" style="9" customWidth="1"/>
    <col min="12043" max="12043" width="10.6640625" style="9" customWidth="1"/>
    <col min="12044" max="12044" width="12.88671875" style="9" customWidth="1"/>
    <col min="12045" max="12045" width="17.88671875" style="9" customWidth="1"/>
    <col min="12046" max="12046" width="3.44140625" style="9" customWidth="1"/>
    <col min="12047" max="12047" width="9.5546875" style="9" customWidth="1"/>
    <col min="12048" max="12051" width="9.109375" style="9" customWidth="1"/>
    <col min="12052" max="12052" width="12" style="9" customWidth="1"/>
    <col min="12053" max="12053" width="9.109375" style="9" customWidth="1"/>
    <col min="12054" max="12054" width="9.6640625" style="9" customWidth="1"/>
    <col min="12055" max="12288" width="8.88671875" style="9"/>
    <col min="12289" max="12289" width="8.5546875" style="9" customWidth="1"/>
    <col min="12290" max="12290" width="10.6640625" style="9" customWidth="1"/>
    <col min="12291" max="12291" width="15" style="9" customWidth="1"/>
    <col min="12292" max="12292" width="9.44140625" style="9" customWidth="1"/>
    <col min="12293" max="12293" width="8.109375" style="9" customWidth="1"/>
    <col min="12294" max="12294" width="11.44140625" style="9" customWidth="1"/>
    <col min="12295" max="12295" width="11.33203125" style="9" bestFit="1" customWidth="1"/>
    <col min="12296" max="12296" width="7.109375" style="9" customWidth="1"/>
    <col min="12297" max="12297" width="6.44140625" style="9" customWidth="1"/>
    <col min="12298" max="12298" width="13.44140625" style="9" customWidth="1"/>
    <col min="12299" max="12299" width="10.6640625" style="9" customWidth="1"/>
    <col min="12300" max="12300" width="12.88671875" style="9" customWidth="1"/>
    <col min="12301" max="12301" width="17.88671875" style="9" customWidth="1"/>
    <col min="12302" max="12302" width="3.44140625" style="9" customWidth="1"/>
    <col min="12303" max="12303" width="9.5546875" style="9" customWidth="1"/>
    <col min="12304" max="12307" width="9.109375" style="9" customWidth="1"/>
    <col min="12308" max="12308" width="12" style="9" customWidth="1"/>
    <col min="12309" max="12309" width="9.109375" style="9" customWidth="1"/>
    <col min="12310" max="12310" width="9.6640625" style="9" customWidth="1"/>
    <col min="12311" max="12544" width="8.88671875" style="9"/>
    <col min="12545" max="12545" width="8.5546875" style="9" customWidth="1"/>
    <col min="12546" max="12546" width="10.6640625" style="9" customWidth="1"/>
    <col min="12547" max="12547" width="15" style="9" customWidth="1"/>
    <col min="12548" max="12548" width="9.44140625" style="9" customWidth="1"/>
    <col min="12549" max="12549" width="8.109375" style="9" customWidth="1"/>
    <col min="12550" max="12550" width="11.44140625" style="9" customWidth="1"/>
    <col min="12551" max="12551" width="11.33203125" style="9" bestFit="1" customWidth="1"/>
    <col min="12552" max="12552" width="7.109375" style="9" customWidth="1"/>
    <col min="12553" max="12553" width="6.44140625" style="9" customWidth="1"/>
    <col min="12554" max="12554" width="13.44140625" style="9" customWidth="1"/>
    <col min="12555" max="12555" width="10.6640625" style="9" customWidth="1"/>
    <col min="12556" max="12556" width="12.88671875" style="9" customWidth="1"/>
    <col min="12557" max="12557" width="17.88671875" style="9" customWidth="1"/>
    <col min="12558" max="12558" width="3.44140625" style="9" customWidth="1"/>
    <col min="12559" max="12559" width="9.5546875" style="9" customWidth="1"/>
    <col min="12560" max="12563" width="9.109375" style="9" customWidth="1"/>
    <col min="12564" max="12564" width="12" style="9" customWidth="1"/>
    <col min="12565" max="12565" width="9.109375" style="9" customWidth="1"/>
    <col min="12566" max="12566" width="9.6640625" style="9" customWidth="1"/>
    <col min="12567" max="12800" width="8.88671875" style="9"/>
    <col min="12801" max="12801" width="8.5546875" style="9" customWidth="1"/>
    <col min="12802" max="12802" width="10.6640625" style="9" customWidth="1"/>
    <col min="12803" max="12803" width="15" style="9" customWidth="1"/>
    <col min="12804" max="12804" width="9.44140625" style="9" customWidth="1"/>
    <col min="12805" max="12805" width="8.109375" style="9" customWidth="1"/>
    <col min="12806" max="12806" width="11.44140625" style="9" customWidth="1"/>
    <col min="12807" max="12807" width="11.33203125" style="9" bestFit="1" customWidth="1"/>
    <col min="12808" max="12808" width="7.109375" style="9" customWidth="1"/>
    <col min="12809" max="12809" width="6.44140625" style="9" customWidth="1"/>
    <col min="12810" max="12810" width="13.44140625" style="9" customWidth="1"/>
    <col min="12811" max="12811" width="10.6640625" style="9" customWidth="1"/>
    <col min="12812" max="12812" width="12.88671875" style="9" customWidth="1"/>
    <col min="12813" max="12813" width="17.88671875" style="9" customWidth="1"/>
    <col min="12814" max="12814" width="3.44140625" style="9" customWidth="1"/>
    <col min="12815" max="12815" width="9.5546875" style="9" customWidth="1"/>
    <col min="12816" max="12819" width="9.109375" style="9" customWidth="1"/>
    <col min="12820" max="12820" width="12" style="9" customWidth="1"/>
    <col min="12821" max="12821" width="9.109375" style="9" customWidth="1"/>
    <col min="12822" max="12822" width="9.6640625" style="9" customWidth="1"/>
    <col min="12823" max="13056" width="8.88671875" style="9"/>
    <col min="13057" max="13057" width="8.5546875" style="9" customWidth="1"/>
    <col min="13058" max="13058" width="10.6640625" style="9" customWidth="1"/>
    <col min="13059" max="13059" width="15" style="9" customWidth="1"/>
    <col min="13060" max="13060" width="9.44140625" style="9" customWidth="1"/>
    <col min="13061" max="13061" width="8.109375" style="9" customWidth="1"/>
    <col min="13062" max="13062" width="11.44140625" style="9" customWidth="1"/>
    <col min="13063" max="13063" width="11.33203125" style="9" bestFit="1" customWidth="1"/>
    <col min="13064" max="13064" width="7.109375" style="9" customWidth="1"/>
    <col min="13065" max="13065" width="6.44140625" style="9" customWidth="1"/>
    <col min="13066" max="13066" width="13.44140625" style="9" customWidth="1"/>
    <col min="13067" max="13067" width="10.6640625" style="9" customWidth="1"/>
    <col min="13068" max="13068" width="12.88671875" style="9" customWidth="1"/>
    <col min="13069" max="13069" width="17.88671875" style="9" customWidth="1"/>
    <col min="13070" max="13070" width="3.44140625" style="9" customWidth="1"/>
    <col min="13071" max="13071" width="9.5546875" style="9" customWidth="1"/>
    <col min="13072" max="13075" width="9.109375" style="9" customWidth="1"/>
    <col min="13076" max="13076" width="12" style="9" customWidth="1"/>
    <col min="13077" max="13077" width="9.109375" style="9" customWidth="1"/>
    <col min="13078" max="13078" width="9.6640625" style="9" customWidth="1"/>
    <col min="13079" max="13312" width="8.88671875" style="9"/>
    <col min="13313" max="13313" width="8.5546875" style="9" customWidth="1"/>
    <col min="13314" max="13314" width="10.6640625" style="9" customWidth="1"/>
    <col min="13315" max="13315" width="15" style="9" customWidth="1"/>
    <col min="13316" max="13316" width="9.44140625" style="9" customWidth="1"/>
    <col min="13317" max="13317" width="8.109375" style="9" customWidth="1"/>
    <col min="13318" max="13318" width="11.44140625" style="9" customWidth="1"/>
    <col min="13319" max="13319" width="11.33203125" style="9" bestFit="1" customWidth="1"/>
    <col min="13320" max="13320" width="7.109375" style="9" customWidth="1"/>
    <col min="13321" max="13321" width="6.44140625" style="9" customWidth="1"/>
    <col min="13322" max="13322" width="13.44140625" style="9" customWidth="1"/>
    <col min="13323" max="13323" width="10.6640625" style="9" customWidth="1"/>
    <col min="13324" max="13324" width="12.88671875" style="9" customWidth="1"/>
    <col min="13325" max="13325" width="17.88671875" style="9" customWidth="1"/>
    <col min="13326" max="13326" width="3.44140625" style="9" customWidth="1"/>
    <col min="13327" max="13327" width="9.5546875" style="9" customWidth="1"/>
    <col min="13328" max="13331" width="9.109375" style="9" customWidth="1"/>
    <col min="13332" max="13332" width="12" style="9" customWidth="1"/>
    <col min="13333" max="13333" width="9.109375" style="9" customWidth="1"/>
    <col min="13334" max="13334" width="9.6640625" style="9" customWidth="1"/>
    <col min="13335" max="13568" width="8.88671875" style="9"/>
    <col min="13569" max="13569" width="8.5546875" style="9" customWidth="1"/>
    <col min="13570" max="13570" width="10.6640625" style="9" customWidth="1"/>
    <col min="13571" max="13571" width="15" style="9" customWidth="1"/>
    <col min="13572" max="13572" width="9.44140625" style="9" customWidth="1"/>
    <col min="13573" max="13573" width="8.109375" style="9" customWidth="1"/>
    <col min="13574" max="13574" width="11.44140625" style="9" customWidth="1"/>
    <col min="13575" max="13575" width="11.33203125" style="9" bestFit="1" customWidth="1"/>
    <col min="13576" max="13576" width="7.109375" style="9" customWidth="1"/>
    <col min="13577" max="13577" width="6.44140625" style="9" customWidth="1"/>
    <col min="13578" max="13578" width="13.44140625" style="9" customWidth="1"/>
    <col min="13579" max="13579" width="10.6640625" style="9" customWidth="1"/>
    <col min="13580" max="13580" width="12.88671875" style="9" customWidth="1"/>
    <col min="13581" max="13581" width="17.88671875" style="9" customWidth="1"/>
    <col min="13582" max="13582" width="3.44140625" style="9" customWidth="1"/>
    <col min="13583" max="13583" width="9.5546875" style="9" customWidth="1"/>
    <col min="13584" max="13587" width="9.109375" style="9" customWidth="1"/>
    <col min="13588" max="13588" width="12" style="9" customWidth="1"/>
    <col min="13589" max="13589" width="9.109375" style="9" customWidth="1"/>
    <col min="13590" max="13590" width="9.6640625" style="9" customWidth="1"/>
    <col min="13591" max="13824" width="8.88671875" style="9"/>
    <col min="13825" max="13825" width="8.5546875" style="9" customWidth="1"/>
    <col min="13826" max="13826" width="10.6640625" style="9" customWidth="1"/>
    <col min="13827" max="13827" width="15" style="9" customWidth="1"/>
    <col min="13828" max="13828" width="9.44140625" style="9" customWidth="1"/>
    <col min="13829" max="13829" width="8.109375" style="9" customWidth="1"/>
    <col min="13830" max="13830" width="11.44140625" style="9" customWidth="1"/>
    <col min="13831" max="13831" width="11.33203125" style="9" bestFit="1" customWidth="1"/>
    <col min="13832" max="13832" width="7.109375" style="9" customWidth="1"/>
    <col min="13833" max="13833" width="6.44140625" style="9" customWidth="1"/>
    <col min="13834" max="13834" width="13.44140625" style="9" customWidth="1"/>
    <col min="13835" max="13835" width="10.6640625" style="9" customWidth="1"/>
    <col min="13836" max="13836" width="12.88671875" style="9" customWidth="1"/>
    <col min="13837" max="13837" width="17.88671875" style="9" customWidth="1"/>
    <col min="13838" max="13838" width="3.44140625" style="9" customWidth="1"/>
    <col min="13839" max="13839" width="9.5546875" style="9" customWidth="1"/>
    <col min="13840" max="13843" width="9.109375" style="9" customWidth="1"/>
    <col min="13844" max="13844" width="12" style="9" customWidth="1"/>
    <col min="13845" max="13845" width="9.109375" style="9" customWidth="1"/>
    <col min="13846" max="13846" width="9.6640625" style="9" customWidth="1"/>
    <col min="13847" max="14080" width="8.88671875" style="9"/>
    <col min="14081" max="14081" width="8.5546875" style="9" customWidth="1"/>
    <col min="14082" max="14082" width="10.6640625" style="9" customWidth="1"/>
    <col min="14083" max="14083" width="15" style="9" customWidth="1"/>
    <col min="14084" max="14084" width="9.44140625" style="9" customWidth="1"/>
    <col min="14085" max="14085" width="8.109375" style="9" customWidth="1"/>
    <col min="14086" max="14086" width="11.44140625" style="9" customWidth="1"/>
    <col min="14087" max="14087" width="11.33203125" style="9" bestFit="1" customWidth="1"/>
    <col min="14088" max="14088" width="7.109375" style="9" customWidth="1"/>
    <col min="14089" max="14089" width="6.44140625" style="9" customWidth="1"/>
    <col min="14090" max="14090" width="13.44140625" style="9" customWidth="1"/>
    <col min="14091" max="14091" width="10.6640625" style="9" customWidth="1"/>
    <col min="14092" max="14092" width="12.88671875" style="9" customWidth="1"/>
    <col min="14093" max="14093" width="17.88671875" style="9" customWidth="1"/>
    <col min="14094" max="14094" width="3.44140625" style="9" customWidth="1"/>
    <col min="14095" max="14095" width="9.5546875" style="9" customWidth="1"/>
    <col min="14096" max="14099" width="9.109375" style="9" customWidth="1"/>
    <col min="14100" max="14100" width="12" style="9" customWidth="1"/>
    <col min="14101" max="14101" width="9.109375" style="9" customWidth="1"/>
    <col min="14102" max="14102" width="9.6640625" style="9" customWidth="1"/>
    <col min="14103" max="14336" width="8.88671875" style="9"/>
    <col min="14337" max="14337" width="8.5546875" style="9" customWidth="1"/>
    <col min="14338" max="14338" width="10.6640625" style="9" customWidth="1"/>
    <col min="14339" max="14339" width="15" style="9" customWidth="1"/>
    <col min="14340" max="14340" width="9.44140625" style="9" customWidth="1"/>
    <col min="14341" max="14341" width="8.109375" style="9" customWidth="1"/>
    <col min="14342" max="14342" width="11.44140625" style="9" customWidth="1"/>
    <col min="14343" max="14343" width="11.33203125" style="9" bestFit="1" customWidth="1"/>
    <col min="14344" max="14344" width="7.109375" style="9" customWidth="1"/>
    <col min="14345" max="14345" width="6.44140625" style="9" customWidth="1"/>
    <col min="14346" max="14346" width="13.44140625" style="9" customWidth="1"/>
    <col min="14347" max="14347" width="10.6640625" style="9" customWidth="1"/>
    <col min="14348" max="14348" width="12.88671875" style="9" customWidth="1"/>
    <col min="14349" max="14349" width="17.88671875" style="9" customWidth="1"/>
    <col min="14350" max="14350" width="3.44140625" style="9" customWidth="1"/>
    <col min="14351" max="14351" width="9.5546875" style="9" customWidth="1"/>
    <col min="14352" max="14355" width="9.109375" style="9" customWidth="1"/>
    <col min="14356" max="14356" width="12" style="9" customWidth="1"/>
    <col min="14357" max="14357" width="9.109375" style="9" customWidth="1"/>
    <col min="14358" max="14358" width="9.6640625" style="9" customWidth="1"/>
    <col min="14359" max="14592" width="8.88671875" style="9"/>
    <col min="14593" max="14593" width="8.5546875" style="9" customWidth="1"/>
    <col min="14594" max="14594" width="10.6640625" style="9" customWidth="1"/>
    <col min="14595" max="14595" width="15" style="9" customWidth="1"/>
    <col min="14596" max="14596" width="9.44140625" style="9" customWidth="1"/>
    <col min="14597" max="14597" width="8.109375" style="9" customWidth="1"/>
    <col min="14598" max="14598" width="11.44140625" style="9" customWidth="1"/>
    <col min="14599" max="14599" width="11.33203125" style="9" bestFit="1" customWidth="1"/>
    <col min="14600" max="14600" width="7.109375" style="9" customWidth="1"/>
    <col min="14601" max="14601" width="6.44140625" style="9" customWidth="1"/>
    <col min="14602" max="14602" width="13.44140625" style="9" customWidth="1"/>
    <col min="14603" max="14603" width="10.6640625" style="9" customWidth="1"/>
    <col min="14604" max="14604" width="12.88671875" style="9" customWidth="1"/>
    <col min="14605" max="14605" width="17.88671875" style="9" customWidth="1"/>
    <col min="14606" max="14606" width="3.44140625" style="9" customWidth="1"/>
    <col min="14607" max="14607" width="9.5546875" style="9" customWidth="1"/>
    <col min="14608" max="14611" width="9.109375" style="9" customWidth="1"/>
    <col min="14612" max="14612" width="12" style="9" customWidth="1"/>
    <col min="14613" max="14613" width="9.109375" style="9" customWidth="1"/>
    <col min="14614" max="14614" width="9.6640625" style="9" customWidth="1"/>
    <col min="14615" max="14848" width="8.88671875" style="9"/>
    <col min="14849" max="14849" width="8.5546875" style="9" customWidth="1"/>
    <col min="14850" max="14850" width="10.6640625" style="9" customWidth="1"/>
    <col min="14851" max="14851" width="15" style="9" customWidth="1"/>
    <col min="14852" max="14852" width="9.44140625" style="9" customWidth="1"/>
    <col min="14853" max="14853" width="8.109375" style="9" customWidth="1"/>
    <col min="14854" max="14854" width="11.44140625" style="9" customWidth="1"/>
    <col min="14855" max="14855" width="11.33203125" style="9" bestFit="1" customWidth="1"/>
    <col min="14856" max="14856" width="7.109375" style="9" customWidth="1"/>
    <col min="14857" max="14857" width="6.44140625" style="9" customWidth="1"/>
    <col min="14858" max="14858" width="13.44140625" style="9" customWidth="1"/>
    <col min="14859" max="14859" width="10.6640625" style="9" customWidth="1"/>
    <col min="14860" max="14860" width="12.88671875" style="9" customWidth="1"/>
    <col min="14861" max="14861" width="17.88671875" style="9" customWidth="1"/>
    <col min="14862" max="14862" width="3.44140625" style="9" customWidth="1"/>
    <col min="14863" max="14863" width="9.5546875" style="9" customWidth="1"/>
    <col min="14864" max="14867" width="9.109375" style="9" customWidth="1"/>
    <col min="14868" max="14868" width="12" style="9" customWidth="1"/>
    <col min="14869" max="14869" width="9.109375" style="9" customWidth="1"/>
    <col min="14870" max="14870" width="9.6640625" style="9" customWidth="1"/>
    <col min="14871" max="15104" width="8.88671875" style="9"/>
    <col min="15105" max="15105" width="8.5546875" style="9" customWidth="1"/>
    <col min="15106" max="15106" width="10.6640625" style="9" customWidth="1"/>
    <col min="15107" max="15107" width="15" style="9" customWidth="1"/>
    <col min="15108" max="15108" width="9.44140625" style="9" customWidth="1"/>
    <col min="15109" max="15109" width="8.109375" style="9" customWidth="1"/>
    <col min="15110" max="15110" width="11.44140625" style="9" customWidth="1"/>
    <col min="15111" max="15111" width="11.33203125" style="9" bestFit="1" customWidth="1"/>
    <col min="15112" max="15112" width="7.109375" style="9" customWidth="1"/>
    <col min="15113" max="15113" width="6.44140625" style="9" customWidth="1"/>
    <col min="15114" max="15114" width="13.44140625" style="9" customWidth="1"/>
    <col min="15115" max="15115" width="10.6640625" style="9" customWidth="1"/>
    <col min="15116" max="15116" width="12.88671875" style="9" customWidth="1"/>
    <col min="15117" max="15117" width="17.88671875" style="9" customWidth="1"/>
    <col min="15118" max="15118" width="3.44140625" style="9" customWidth="1"/>
    <col min="15119" max="15119" width="9.5546875" style="9" customWidth="1"/>
    <col min="15120" max="15123" width="9.109375" style="9" customWidth="1"/>
    <col min="15124" max="15124" width="12" style="9" customWidth="1"/>
    <col min="15125" max="15125" width="9.109375" style="9" customWidth="1"/>
    <col min="15126" max="15126" width="9.6640625" style="9" customWidth="1"/>
    <col min="15127" max="15360" width="8.88671875" style="9"/>
    <col min="15361" max="15361" width="8.5546875" style="9" customWidth="1"/>
    <col min="15362" max="15362" width="10.6640625" style="9" customWidth="1"/>
    <col min="15363" max="15363" width="15" style="9" customWidth="1"/>
    <col min="15364" max="15364" width="9.44140625" style="9" customWidth="1"/>
    <col min="15365" max="15365" width="8.109375" style="9" customWidth="1"/>
    <col min="15366" max="15366" width="11.44140625" style="9" customWidth="1"/>
    <col min="15367" max="15367" width="11.33203125" style="9" bestFit="1" customWidth="1"/>
    <col min="15368" max="15368" width="7.109375" style="9" customWidth="1"/>
    <col min="15369" max="15369" width="6.44140625" style="9" customWidth="1"/>
    <col min="15370" max="15370" width="13.44140625" style="9" customWidth="1"/>
    <col min="15371" max="15371" width="10.6640625" style="9" customWidth="1"/>
    <col min="15372" max="15372" width="12.88671875" style="9" customWidth="1"/>
    <col min="15373" max="15373" width="17.88671875" style="9" customWidth="1"/>
    <col min="15374" max="15374" width="3.44140625" style="9" customWidth="1"/>
    <col min="15375" max="15375" width="9.5546875" style="9" customWidth="1"/>
    <col min="15376" max="15379" width="9.109375" style="9" customWidth="1"/>
    <col min="15380" max="15380" width="12" style="9" customWidth="1"/>
    <col min="15381" max="15381" width="9.109375" style="9" customWidth="1"/>
    <col min="15382" max="15382" width="9.6640625" style="9" customWidth="1"/>
    <col min="15383" max="15616" width="8.88671875" style="9"/>
    <col min="15617" max="15617" width="8.5546875" style="9" customWidth="1"/>
    <col min="15618" max="15618" width="10.6640625" style="9" customWidth="1"/>
    <col min="15619" max="15619" width="15" style="9" customWidth="1"/>
    <col min="15620" max="15620" width="9.44140625" style="9" customWidth="1"/>
    <col min="15621" max="15621" width="8.109375" style="9" customWidth="1"/>
    <col min="15622" max="15622" width="11.44140625" style="9" customWidth="1"/>
    <col min="15623" max="15623" width="11.33203125" style="9" bestFit="1" customWidth="1"/>
    <col min="15624" max="15624" width="7.109375" style="9" customWidth="1"/>
    <col min="15625" max="15625" width="6.44140625" style="9" customWidth="1"/>
    <col min="15626" max="15626" width="13.44140625" style="9" customWidth="1"/>
    <col min="15627" max="15627" width="10.6640625" style="9" customWidth="1"/>
    <col min="15628" max="15628" width="12.88671875" style="9" customWidth="1"/>
    <col min="15629" max="15629" width="17.88671875" style="9" customWidth="1"/>
    <col min="15630" max="15630" width="3.44140625" style="9" customWidth="1"/>
    <col min="15631" max="15631" width="9.5546875" style="9" customWidth="1"/>
    <col min="15632" max="15635" width="9.109375" style="9" customWidth="1"/>
    <col min="15636" max="15636" width="12" style="9" customWidth="1"/>
    <col min="15637" max="15637" width="9.109375" style="9" customWidth="1"/>
    <col min="15638" max="15638" width="9.6640625" style="9" customWidth="1"/>
    <col min="15639" max="15872" width="8.88671875" style="9"/>
    <col min="15873" max="15873" width="8.5546875" style="9" customWidth="1"/>
    <col min="15874" max="15874" width="10.6640625" style="9" customWidth="1"/>
    <col min="15875" max="15875" width="15" style="9" customWidth="1"/>
    <col min="15876" max="15876" width="9.44140625" style="9" customWidth="1"/>
    <col min="15877" max="15877" width="8.109375" style="9" customWidth="1"/>
    <col min="15878" max="15878" width="11.44140625" style="9" customWidth="1"/>
    <col min="15879" max="15879" width="11.33203125" style="9" bestFit="1" customWidth="1"/>
    <col min="15880" max="15880" width="7.109375" style="9" customWidth="1"/>
    <col min="15881" max="15881" width="6.44140625" style="9" customWidth="1"/>
    <col min="15882" max="15882" width="13.44140625" style="9" customWidth="1"/>
    <col min="15883" max="15883" width="10.6640625" style="9" customWidth="1"/>
    <col min="15884" max="15884" width="12.88671875" style="9" customWidth="1"/>
    <col min="15885" max="15885" width="17.88671875" style="9" customWidth="1"/>
    <col min="15886" max="15886" width="3.44140625" style="9" customWidth="1"/>
    <col min="15887" max="15887" width="9.5546875" style="9" customWidth="1"/>
    <col min="15888" max="15891" width="9.109375" style="9" customWidth="1"/>
    <col min="15892" max="15892" width="12" style="9" customWidth="1"/>
    <col min="15893" max="15893" width="9.109375" style="9" customWidth="1"/>
    <col min="15894" max="15894" width="9.6640625" style="9" customWidth="1"/>
    <col min="15895" max="16128" width="8.88671875" style="9"/>
    <col min="16129" max="16129" width="8.5546875" style="9" customWidth="1"/>
    <col min="16130" max="16130" width="10.6640625" style="9" customWidth="1"/>
    <col min="16131" max="16131" width="15" style="9" customWidth="1"/>
    <col min="16132" max="16132" width="9.44140625" style="9" customWidth="1"/>
    <col min="16133" max="16133" width="8.109375" style="9" customWidth="1"/>
    <col min="16134" max="16134" width="11.44140625" style="9" customWidth="1"/>
    <col min="16135" max="16135" width="11.33203125" style="9" bestFit="1" customWidth="1"/>
    <col min="16136" max="16136" width="7.109375" style="9" customWidth="1"/>
    <col min="16137" max="16137" width="6.44140625" style="9" customWidth="1"/>
    <col min="16138" max="16138" width="13.44140625" style="9" customWidth="1"/>
    <col min="16139" max="16139" width="10.6640625" style="9" customWidth="1"/>
    <col min="16140" max="16140" width="12.88671875" style="9" customWidth="1"/>
    <col min="16141" max="16141" width="17.88671875" style="9" customWidth="1"/>
    <col min="16142" max="16142" width="3.44140625" style="9" customWidth="1"/>
    <col min="16143" max="16143" width="9.5546875" style="9" customWidth="1"/>
    <col min="16144" max="16147" width="9.109375" style="9" customWidth="1"/>
    <col min="16148" max="16148" width="12" style="9" customWidth="1"/>
    <col min="16149" max="16149" width="9.109375" style="9" customWidth="1"/>
    <col min="16150" max="16150" width="9.6640625" style="9" customWidth="1"/>
    <col min="16151" max="16384" width="8.88671875" style="9"/>
  </cols>
  <sheetData>
    <row r="4" spans="1:33" ht="13.2" thickBot="1" x14ac:dyDescent="0.25"/>
    <row r="5" spans="1:33" ht="14.4" x14ac:dyDescent="0.2">
      <c r="A5" s="170" t="s">
        <v>46</v>
      </c>
      <c r="B5" s="161" t="s">
        <v>47</v>
      </c>
      <c r="C5" s="161" t="s">
        <v>48</v>
      </c>
      <c r="D5" s="161" t="s">
        <v>49</v>
      </c>
      <c r="E5" s="161" t="s">
        <v>50</v>
      </c>
      <c r="F5" s="161" t="s">
        <v>51</v>
      </c>
      <c r="G5" s="161" t="s">
        <v>52</v>
      </c>
      <c r="H5" s="161" t="s">
        <v>53</v>
      </c>
      <c r="I5" s="161" t="s">
        <v>54</v>
      </c>
      <c r="J5" s="161" t="s">
        <v>55</v>
      </c>
      <c r="K5" s="161" t="s">
        <v>56</v>
      </c>
      <c r="L5" s="167" t="s">
        <v>57</v>
      </c>
      <c r="M5" s="168"/>
      <c r="N5" s="168"/>
      <c r="O5" s="168"/>
      <c r="P5" s="168"/>
      <c r="Q5" s="169"/>
      <c r="R5" s="161" t="s">
        <v>25</v>
      </c>
      <c r="S5" s="161" t="s">
        <v>58</v>
      </c>
      <c r="T5" s="163" t="s">
        <v>59</v>
      </c>
    </row>
    <row r="6" spans="1:33" ht="15" thickBot="1" x14ac:dyDescent="0.25">
      <c r="A6" s="171"/>
      <c r="B6" s="162"/>
      <c r="C6" s="162"/>
      <c r="D6" s="162"/>
      <c r="E6" s="162"/>
      <c r="F6" s="162"/>
      <c r="G6" s="162"/>
      <c r="H6" s="162"/>
      <c r="I6" s="162"/>
      <c r="J6" s="162"/>
      <c r="K6" s="162"/>
      <c r="L6" s="16" t="s">
        <v>9</v>
      </c>
      <c r="M6" s="16" t="s">
        <v>60</v>
      </c>
      <c r="N6" s="16" t="s">
        <v>61</v>
      </c>
      <c r="O6" s="16" t="s">
        <v>8</v>
      </c>
      <c r="P6" s="16" t="s">
        <v>62</v>
      </c>
      <c r="Q6" s="16" t="s">
        <v>63</v>
      </c>
      <c r="R6" s="162"/>
      <c r="S6" s="162"/>
      <c r="T6" s="164"/>
      <c r="X6" s="17">
        <f>W13+V16*2</f>
        <v>3.1</v>
      </c>
    </row>
    <row r="7" spans="1:33" ht="14.4" x14ac:dyDescent="0.3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</row>
    <row r="8" spans="1:33" ht="14.4" x14ac:dyDescent="0.2">
      <c r="A8" s="19"/>
      <c r="B8" s="20"/>
      <c r="C8" s="21"/>
      <c r="D8" s="20"/>
      <c r="E8" s="20"/>
      <c r="F8" s="20"/>
      <c r="G8" s="20"/>
      <c r="H8" s="20"/>
      <c r="I8" s="20"/>
      <c r="J8" s="20"/>
      <c r="K8" s="20"/>
      <c r="L8" s="20">
        <v>2.5</v>
      </c>
      <c r="M8" s="20">
        <v>0.3</v>
      </c>
      <c r="N8" s="20"/>
      <c r="O8" s="20">
        <v>0.3</v>
      </c>
      <c r="P8" s="20">
        <v>0.35</v>
      </c>
      <c r="Q8" s="20">
        <v>3</v>
      </c>
      <c r="R8" s="20">
        <v>80</v>
      </c>
      <c r="S8" s="20">
        <v>0</v>
      </c>
      <c r="T8" s="20"/>
      <c r="AF8" s="11">
        <f>AD12/COS(RADIANS(S8))+AE19</f>
        <v>80.043933982822011</v>
      </c>
    </row>
    <row r="9" spans="1:33" x14ac:dyDescent="0.2">
      <c r="A9" s="9"/>
      <c r="D9" s="9"/>
      <c r="F9" s="9"/>
      <c r="G9" s="9"/>
      <c r="H9" s="9"/>
      <c r="I9" s="9"/>
      <c r="J9" s="9"/>
      <c r="M9" s="9"/>
      <c r="O9" s="9"/>
      <c r="P9" s="9"/>
      <c r="Q9" s="9"/>
      <c r="X9" s="17">
        <f>O8</f>
        <v>0.3</v>
      </c>
    </row>
    <row r="10" spans="1:33" x14ac:dyDescent="0.2">
      <c r="A10" s="9"/>
      <c r="D10" s="9"/>
      <c r="F10" s="9"/>
      <c r="G10" s="9"/>
      <c r="H10" s="9"/>
      <c r="I10" s="9"/>
      <c r="J10" s="9"/>
      <c r="M10" s="9"/>
      <c r="O10" s="9"/>
      <c r="P10" s="9"/>
      <c r="Q10" s="9"/>
      <c r="R10" s="165" t="s">
        <v>62</v>
      </c>
      <c r="S10" s="165"/>
      <c r="T10" s="15">
        <v>7.4999999999999997E-2</v>
      </c>
    </row>
    <row r="12" spans="1:33" x14ac:dyDescent="0.2">
      <c r="A12" s="9"/>
      <c r="D12" s="9"/>
      <c r="F12" s="9"/>
      <c r="G12" s="9"/>
      <c r="H12" s="9"/>
      <c r="I12" s="9"/>
      <c r="J12" s="9"/>
      <c r="M12" s="9"/>
      <c r="O12" s="9"/>
      <c r="P12" s="9"/>
      <c r="Q12" s="9"/>
      <c r="R12" s="165" t="s">
        <v>75</v>
      </c>
      <c r="S12" s="165"/>
      <c r="T12" s="22">
        <v>0.05</v>
      </c>
      <c r="AD12" s="9">
        <f>T19-T10*2</f>
        <v>79.849999999999994</v>
      </c>
    </row>
    <row r="13" spans="1:33" x14ac:dyDescent="0.2">
      <c r="A13" s="9"/>
      <c r="D13" s="9"/>
      <c r="F13" s="9"/>
      <c r="G13" s="9"/>
      <c r="H13" s="9"/>
      <c r="I13" s="9"/>
      <c r="J13" s="9"/>
      <c r="M13" s="9"/>
      <c r="O13" s="9"/>
      <c r="P13" s="9"/>
      <c r="Q13" s="9"/>
      <c r="W13" s="23">
        <f>L8</f>
        <v>2.5</v>
      </c>
    </row>
    <row r="14" spans="1:33" ht="12.75" customHeight="1" x14ac:dyDescent="0.2">
      <c r="A14" s="9"/>
      <c r="D14" s="9"/>
      <c r="F14" s="9"/>
      <c r="G14" s="9"/>
      <c r="H14" s="9"/>
      <c r="I14" s="9"/>
      <c r="J14" s="9"/>
      <c r="M14" s="9"/>
      <c r="O14" s="9"/>
      <c r="P14" s="9"/>
      <c r="Q14" s="9"/>
      <c r="R14" s="165" t="s">
        <v>64</v>
      </c>
      <c r="S14" s="165"/>
      <c r="T14" s="165">
        <v>2</v>
      </c>
      <c r="AG14" s="24">
        <f>(SQRT((AD12^2)+((AD12)^2)))/COS(RADIANS(S8))</f>
        <v>112.92495295549163</v>
      </c>
    </row>
    <row r="15" spans="1:33" ht="10.199999999999999" x14ac:dyDescent="0.2">
      <c r="A15" s="9"/>
      <c r="D15" s="9"/>
      <c r="F15" s="9"/>
      <c r="G15" s="9"/>
      <c r="H15" s="9"/>
      <c r="I15" s="9"/>
      <c r="J15" s="9"/>
      <c r="M15" s="9"/>
      <c r="O15" s="9"/>
      <c r="P15" s="9"/>
      <c r="Q15" s="9"/>
      <c r="R15" s="165"/>
      <c r="S15" s="165"/>
      <c r="T15" s="165"/>
    </row>
    <row r="16" spans="1:33" x14ac:dyDescent="0.2">
      <c r="A16" s="9"/>
      <c r="D16" s="9"/>
      <c r="F16" s="9"/>
      <c r="G16" s="9"/>
      <c r="H16" s="9"/>
      <c r="I16" s="9"/>
      <c r="J16" s="9"/>
      <c r="M16" s="9"/>
      <c r="O16" s="9"/>
      <c r="P16" s="9"/>
      <c r="Q16" s="9"/>
      <c r="V16" s="17">
        <f>M8</f>
        <v>0.3</v>
      </c>
      <c r="X16" s="17">
        <f>Q8</f>
        <v>3</v>
      </c>
    </row>
    <row r="17" spans="1:31" ht="12.75" customHeight="1" x14ac:dyDescent="0.2">
      <c r="A17" s="9"/>
      <c r="D17" s="9"/>
      <c r="F17" s="9"/>
      <c r="G17" s="9"/>
      <c r="H17" s="9"/>
      <c r="I17" s="9"/>
      <c r="J17" s="9"/>
      <c r="M17" s="9"/>
      <c r="O17" s="9"/>
      <c r="P17" s="9"/>
      <c r="Q17" s="166" t="s">
        <v>65</v>
      </c>
      <c r="R17" s="166"/>
      <c r="S17" s="166"/>
      <c r="T17" s="22">
        <f>R8/COS(RADIANS(S8))</f>
        <v>80</v>
      </c>
      <c r="AB17" s="25">
        <f>X16+X26+X9</f>
        <v>3.65</v>
      </c>
    </row>
    <row r="19" spans="1:31" x14ac:dyDescent="0.2">
      <c r="A19" s="9"/>
      <c r="D19" s="9"/>
      <c r="F19" s="9"/>
      <c r="G19" s="9"/>
      <c r="H19" s="9"/>
      <c r="I19" s="9"/>
      <c r="J19" s="9"/>
      <c r="M19" s="9"/>
      <c r="O19" s="9"/>
      <c r="P19" s="9"/>
      <c r="Q19" s="26"/>
      <c r="R19" s="26"/>
      <c r="S19" s="27" t="s">
        <v>66</v>
      </c>
      <c r="T19" s="22">
        <f>R8</f>
        <v>80</v>
      </c>
      <c r="AE19" s="28">
        <f>T20-(T10/COS(RADIANS(45)))</f>
        <v>0.19393398282201788</v>
      </c>
    </row>
    <row r="20" spans="1:31" x14ac:dyDescent="0.2">
      <c r="Q20" s="27"/>
      <c r="S20" s="27" t="s">
        <v>67</v>
      </c>
      <c r="T20" s="22">
        <v>0.3</v>
      </c>
    </row>
    <row r="21" spans="1:31" x14ac:dyDescent="0.2">
      <c r="A21" s="9"/>
      <c r="D21" s="9"/>
      <c r="F21" s="9"/>
      <c r="G21" s="9"/>
      <c r="H21" s="9"/>
      <c r="I21" s="9"/>
      <c r="J21" s="9"/>
      <c r="M21" s="9"/>
      <c r="O21" s="9"/>
      <c r="P21" s="9"/>
      <c r="Q21" s="27"/>
      <c r="S21" s="27" t="s">
        <v>68</v>
      </c>
      <c r="T21" s="22">
        <v>1.5</v>
      </c>
    </row>
    <row r="23" spans="1:31" x14ac:dyDescent="0.2">
      <c r="A23" s="9"/>
      <c r="D23" s="9"/>
      <c r="F23" s="9"/>
      <c r="G23" s="9"/>
      <c r="H23" s="9"/>
      <c r="I23" s="9"/>
      <c r="J23" s="9"/>
      <c r="M23" s="9"/>
      <c r="O23" s="9"/>
      <c r="P23" s="9"/>
      <c r="Q23" s="165"/>
      <c r="R23" s="165"/>
      <c r="S23" s="165"/>
      <c r="T23" s="22"/>
    </row>
    <row r="24" spans="1:31" x14ac:dyDescent="0.2">
      <c r="A24" s="9"/>
      <c r="D24" s="9"/>
      <c r="F24" s="9"/>
      <c r="G24" s="9"/>
      <c r="H24" s="9"/>
      <c r="I24" s="9"/>
      <c r="J24" s="9"/>
      <c r="M24" s="9"/>
      <c r="O24" s="9"/>
      <c r="P24" s="9"/>
      <c r="T24" s="22">
        <f>75/COS(RADIANS(45))</f>
        <v>106.06601717798212</v>
      </c>
    </row>
    <row r="26" spans="1:31" x14ac:dyDescent="0.2">
      <c r="A26" s="9"/>
      <c r="D26" s="9"/>
      <c r="F26" s="9"/>
      <c r="G26" s="9"/>
      <c r="H26" s="9"/>
      <c r="I26" s="9"/>
      <c r="J26" s="9"/>
      <c r="M26" s="9"/>
      <c r="O26" s="9"/>
      <c r="P26" s="9"/>
      <c r="T26" s="22">
        <f>300-T24</f>
        <v>193.93398282201787</v>
      </c>
      <c r="X26" s="17">
        <f>P8</f>
        <v>0.35</v>
      </c>
      <c r="AE26" s="9">
        <f>1.05/SIN(RADIANS(45))</f>
        <v>1.48492424049175</v>
      </c>
    </row>
    <row r="32" spans="1:31" ht="13.2" thickBot="1" x14ac:dyDescent="0.25">
      <c r="V32" s="9">
        <f>T17*V16*AB17*2</f>
        <v>175.2</v>
      </c>
    </row>
    <row r="33" spans="1:22" ht="20.25" customHeight="1" thickBot="1" x14ac:dyDescent="0.25">
      <c r="A33" s="155" t="s">
        <v>83</v>
      </c>
      <c r="B33" s="156"/>
      <c r="C33" s="156"/>
      <c r="D33" s="156"/>
      <c r="E33" s="156"/>
      <c r="F33" s="156"/>
      <c r="G33" s="156"/>
      <c r="H33" s="156"/>
      <c r="I33" s="156"/>
      <c r="J33" s="156"/>
      <c r="K33" s="156"/>
      <c r="L33" s="156"/>
      <c r="M33" s="157"/>
      <c r="O33" s="9"/>
      <c r="P33" s="11"/>
      <c r="Q33" s="34"/>
      <c r="R33" s="11"/>
      <c r="S33" s="29"/>
      <c r="T33" s="9"/>
      <c r="U33" s="35"/>
      <c r="V33" s="36"/>
    </row>
    <row r="34" spans="1:22" s="41" customFormat="1" ht="53.25" customHeight="1" x14ac:dyDescent="0.25">
      <c r="A34" s="37" t="s">
        <v>12</v>
      </c>
      <c r="B34" s="158" t="s">
        <v>13</v>
      </c>
      <c r="C34" s="159"/>
      <c r="D34" s="159"/>
      <c r="E34" s="38" t="s">
        <v>21</v>
      </c>
      <c r="F34" s="39" t="s">
        <v>22</v>
      </c>
      <c r="G34" s="38" t="s">
        <v>23</v>
      </c>
      <c r="H34" s="160" t="s">
        <v>24</v>
      </c>
      <c r="I34" s="158"/>
      <c r="J34" s="39" t="s">
        <v>25</v>
      </c>
      <c r="K34" s="38" t="s">
        <v>26</v>
      </c>
      <c r="L34" s="38" t="s">
        <v>27</v>
      </c>
      <c r="M34" s="40" t="s">
        <v>28</v>
      </c>
      <c r="P34" s="42"/>
      <c r="Q34" s="43"/>
      <c r="R34" s="42"/>
      <c r="S34" s="44"/>
      <c r="V34" s="45"/>
    </row>
    <row r="35" spans="1:22" s="11" customFormat="1" ht="35.25" customHeight="1" x14ac:dyDescent="0.3">
      <c r="A35" s="143">
        <v>1</v>
      </c>
      <c r="B35" s="46">
        <v>0.2</v>
      </c>
      <c r="C35" s="47">
        <f>X6-T10-T10</f>
        <v>2.9499999999999997</v>
      </c>
      <c r="D35" s="48">
        <f>B35</f>
        <v>0.2</v>
      </c>
      <c r="E35" s="49">
        <v>10</v>
      </c>
      <c r="F35" s="50">
        <f>(B35+C35+D35)-(4*(E35/1000))</f>
        <v>3.31</v>
      </c>
      <c r="G35" s="49">
        <v>200</v>
      </c>
      <c r="H35" s="51">
        <v>1</v>
      </c>
      <c r="I35" s="52">
        <f>ROUND((T17)/(G35/1000)+1,0)</f>
        <v>401</v>
      </c>
      <c r="J35" s="50">
        <f>(F35*H35*I35)</f>
        <v>1327.31</v>
      </c>
      <c r="K35" s="50">
        <f>ROUND((E35*E35)/162,3)</f>
        <v>0.61699999999999999</v>
      </c>
      <c r="L35" s="49">
        <f>ROUND(J35*K35,3)</f>
        <v>818.95</v>
      </c>
      <c r="M35" s="140" t="s">
        <v>73</v>
      </c>
      <c r="O35" s="22">
        <f>3.1-0.15</f>
        <v>2.95</v>
      </c>
      <c r="P35" s="22"/>
      <c r="Q35" s="22"/>
      <c r="R35" s="22"/>
      <c r="S35" s="22">
        <f>80/0.15</f>
        <v>533.33333333333337</v>
      </c>
      <c r="T35" s="22"/>
    </row>
    <row r="36" spans="1:22" s="41" customFormat="1" ht="17.25" customHeight="1" x14ac:dyDescent="0.25">
      <c r="A36" s="145"/>
      <c r="B36" s="53"/>
      <c r="C36" s="53"/>
      <c r="D36" s="54"/>
      <c r="E36" s="54"/>
      <c r="F36" s="55"/>
      <c r="G36" s="54"/>
      <c r="H36" s="53"/>
      <c r="I36" s="54"/>
      <c r="J36" s="55"/>
      <c r="K36" s="54"/>
      <c r="L36" s="54"/>
      <c r="M36" s="142"/>
      <c r="P36" s="42"/>
      <c r="Q36" s="43"/>
      <c r="R36" s="42"/>
      <c r="S36" s="44">
        <v>0.04</v>
      </c>
      <c r="T36" s="56"/>
      <c r="U36" s="56"/>
      <c r="V36" s="45"/>
    </row>
    <row r="37" spans="1:22" s="11" customFormat="1" ht="30" customHeight="1" x14ac:dyDescent="0.3">
      <c r="A37" s="137">
        <v>2</v>
      </c>
      <c r="B37" s="46">
        <v>0.2</v>
      </c>
      <c r="C37" s="47">
        <f>X6-T10-T10</f>
        <v>2.9499999999999997</v>
      </c>
      <c r="D37" s="48">
        <f>B37</f>
        <v>0.2</v>
      </c>
      <c r="E37" s="49">
        <v>12</v>
      </c>
      <c r="F37" s="50">
        <f>(B37+C37+D37)-(4*(E37/1000))</f>
        <v>3.302</v>
      </c>
      <c r="G37" s="49">
        <v>120</v>
      </c>
      <c r="H37" s="51">
        <v>1</v>
      </c>
      <c r="I37" s="52">
        <f>ROUND((T17)/(G37/1000)+1,0)</f>
        <v>668</v>
      </c>
      <c r="J37" s="50">
        <f>(F37*H37*I37)</f>
        <v>2205.7359999999999</v>
      </c>
      <c r="K37" s="50">
        <f>ROUND((E37*E37)/162,3)</f>
        <v>0.88900000000000001</v>
      </c>
      <c r="L37" s="49">
        <f>ROUND(J37*K37,3)</f>
        <v>1960.8989999999999</v>
      </c>
      <c r="M37" s="140" t="s">
        <v>74</v>
      </c>
      <c r="Q37" s="34"/>
      <c r="T37" s="57"/>
      <c r="U37" s="57"/>
      <c r="V37" s="57"/>
    </row>
    <row r="38" spans="1:22" s="11" customFormat="1" ht="19.5" customHeight="1" x14ac:dyDescent="0.3">
      <c r="A38" s="138"/>
      <c r="B38" s="58"/>
      <c r="C38" s="59"/>
      <c r="D38" s="60"/>
      <c r="E38" s="61"/>
      <c r="F38" s="62"/>
      <c r="G38" s="61"/>
      <c r="H38" s="63"/>
      <c r="I38" s="64"/>
      <c r="J38" s="62"/>
      <c r="K38" s="61"/>
      <c r="L38" s="61"/>
      <c r="M38" s="141"/>
    </row>
    <row r="39" spans="1:22" s="11" customFormat="1" ht="14.25" customHeight="1" x14ac:dyDescent="0.3">
      <c r="A39" s="137">
        <v>3</v>
      </c>
      <c r="B39" s="65"/>
      <c r="C39" s="47"/>
      <c r="D39" s="66"/>
      <c r="E39" s="49"/>
      <c r="F39" s="50"/>
      <c r="G39" s="49"/>
      <c r="H39" s="51"/>
      <c r="I39" s="52"/>
      <c r="J39" s="50"/>
      <c r="K39" s="49"/>
      <c r="L39" s="49"/>
      <c r="M39" s="140" t="s">
        <v>70</v>
      </c>
      <c r="R39" s="13"/>
    </row>
    <row r="40" spans="1:22" s="11" customFormat="1" ht="14.25" customHeight="1" x14ac:dyDescent="0.3">
      <c r="A40" s="138"/>
      <c r="B40" s="67"/>
      <c r="C40" s="116">
        <f>(T17-T10-T10)+((T17/12)-1)*(50*E40)/1000</f>
        <v>82.683333333333323</v>
      </c>
      <c r="D40" s="68"/>
      <c r="E40" s="69">
        <v>10</v>
      </c>
      <c r="F40" s="70">
        <f>C40</f>
        <v>82.683333333333323</v>
      </c>
      <c r="G40" s="69">
        <v>200</v>
      </c>
      <c r="H40" s="71">
        <v>2</v>
      </c>
      <c r="I40" s="69">
        <f>ROUND((X6)/(G40/1000)+1,0)</f>
        <v>17</v>
      </c>
      <c r="J40" s="72">
        <f>F40*H40*I40</f>
        <v>2811.2333333333331</v>
      </c>
      <c r="K40" s="70">
        <f>ROUND((E40*E40)/162,3)</f>
        <v>0.61699999999999999</v>
      </c>
      <c r="L40" s="69">
        <f>ROUND(J40*K40,3)</f>
        <v>1734.5309999999999</v>
      </c>
      <c r="M40" s="141"/>
      <c r="R40" s="13"/>
    </row>
    <row r="41" spans="1:22" s="11" customFormat="1" ht="14.25" customHeight="1" x14ac:dyDescent="0.3">
      <c r="A41" s="138"/>
      <c r="B41" s="67"/>
      <c r="C41" s="110"/>
      <c r="D41" s="68"/>
      <c r="E41" s="69"/>
      <c r="F41" s="70"/>
      <c r="G41" s="69"/>
      <c r="H41" s="71"/>
      <c r="I41" s="73"/>
      <c r="J41" s="72"/>
      <c r="K41" s="69"/>
      <c r="L41" s="69"/>
      <c r="M41" s="141"/>
      <c r="R41" s="13"/>
    </row>
    <row r="42" spans="1:22" s="11" customFormat="1" ht="14.25" customHeight="1" x14ac:dyDescent="0.3">
      <c r="A42" s="139"/>
      <c r="B42" s="74"/>
      <c r="C42" s="59"/>
      <c r="D42" s="60"/>
      <c r="E42" s="61"/>
      <c r="F42" s="75"/>
      <c r="G42" s="61"/>
      <c r="H42" s="63"/>
      <c r="I42" s="61"/>
      <c r="J42" s="75"/>
      <c r="K42" s="62"/>
      <c r="L42" s="61"/>
      <c r="M42" s="142"/>
      <c r="R42" s="13"/>
    </row>
    <row r="43" spans="1:22" s="11" customFormat="1" ht="19.5" customHeight="1" x14ac:dyDescent="0.3">
      <c r="A43" s="137">
        <v>4</v>
      </c>
      <c r="B43" s="67"/>
      <c r="C43" s="110"/>
      <c r="D43" s="68"/>
      <c r="E43" s="69"/>
      <c r="F43" s="70"/>
      <c r="G43" s="69"/>
      <c r="H43" s="71"/>
      <c r="I43" s="73"/>
      <c r="J43" s="70"/>
      <c r="K43" s="69"/>
      <c r="L43" s="69"/>
      <c r="M43" s="146" t="s">
        <v>69</v>
      </c>
    </row>
    <row r="44" spans="1:22" s="11" customFormat="1" ht="19.5" customHeight="1" x14ac:dyDescent="0.3">
      <c r="A44" s="138"/>
      <c r="B44" s="67"/>
      <c r="C44" s="110"/>
      <c r="D44" s="68"/>
      <c r="E44" s="69"/>
      <c r="F44" s="70"/>
      <c r="G44" s="69"/>
      <c r="H44" s="71"/>
      <c r="I44" s="73"/>
      <c r="J44" s="70"/>
      <c r="K44" s="69"/>
      <c r="L44" s="69"/>
      <c r="M44" s="146"/>
    </row>
    <row r="45" spans="1:22" s="11" customFormat="1" ht="19.5" customHeight="1" x14ac:dyDescent="0.3">
      <c r="A45" s="138"/>
      <c r="B45" s="67"/>
      <c r="C45" s="110"/>
      <c r="D45" s="68"/>
      <c r="E45" s="69"/>
      <c r="F45" s="70"/>
      <c r="G45" s="69"/>
      <c r="H45" s="71"/>
      <c r="I45" s="73"/>
      <c r="J45" s="70"/>
      <c r="K45" s="69"/>
      <c r="L45" s="69"/>
      <c r="M45" s="146"/>
    </row>
    <row r="46" spans="1:22" s="11" customFormat="1" ht="19.5" customHeight="1" x14ac:dyDescent="0.3">
      <c r="A46" s="138"/>
      <c r="B46" s="67"/>
      <c r="C46" s="110"/>
      <c r="D46" s="68"/>
      <c r="E46" s="69">
        <v>16</v>
      </c>
      <c r="F46" s="70">
        <f>((B47+C50)-(2*(E46/1000)))</f>
        <v>1.968</v>
      </c>
      <c r="G46" s="69">
        <v>200</v>
      </c>
      <c r="H46" s="51">
        <v>2</v>
      </c>
      <c r="I46" s="52">
        <f>ROUND((T17)/(G46/1000)+1,0)</f>
        <v>401</v>
      </c>
      <c r="J46" s="50">
        <f>(F46*H46*I46)</f>
        <v>1578.336</v>
      </c>
      <c r="K46" s="50">
        <f>ROUND((E46*E46)/162,3)</f>
        <v>1.58</v>
      </c>
      <c r="L46" s="49">
        <f>ROUND(J46*K46,3)</f>
        <v>2493.7710000000002</v>
      </c>
      <c r="M46" s="146"/>
    </row>
    <row r="47" spans="1:22" s="11" customFormat="1" ht="19.5" customHeight="1" x14ac:dyDescent="0.3">
      <c r="A47" s="138"/>
      <c r="B47" s="76">
        <v>1</v>
      </c>
      <c r="C47" s="110"/>
      <c r="D47" s="68"/>
      <c r="E47" s="69"/>
      <c r="F47" s="70"/>
      <c r="G47" s="69"/>
      <c r="H47" s="71"/>
      <c r="I47" s="73"/>
      <c r="J47" s="70"/>
      <c r="K47" s="69"/>
      <c r="L47" s="69"/>
      <c r="M47" s="146"/>
    </row>
    <row r="48" spans="1:22" s="11" customFormat="1" ht="19.5" customHeight="1" x14ac:dyDescent="0.3">
      <c r="A48" s="138"/>
      <c r="B48" s="67"/>
      <c r="C48" s="110"/>
      <c r="D48" s="68"/>
      <c r="E48" s="69"/>
      <c r="F48" s="70"/>
      <c r="G48" s="69"/>
      <c r="H48" s="71"/>
      <c r="I48" s="73"/>
      <c r="J48" s="70"/>
      <c r="K48" s="69"/>
      <c r="L48" s="69"/>
      <c r="M48" s="146"/>
    </row>
    <row r="49" spans="1:19" s="11" customFormat="1" ht="19.5" customHeight="1" x14ac:dyDescent="0.3">
      <c r="A49" s="138"/>
      <c r="B49" s="67"/>
      <c r="C49" s="110"/>
      <c r="D49" s="68"/>
      <c r="E49" s="69"/>
      <c r="F49" s="70"/>
      <c r="G49" s="69"/>
      <c r="H49" s="71"/>
      <c r="I49" s="73"/>
      <c r="J49" s="70"/>
      <c r="K49" s="69"/>
      <c r="L49" s="69"/>
      <c r="M49" s="146"/>
    </row>
    <row r="50" spans="1:19" s="11" customFormat="1" ht="19.5" customHeight="1" x14ac:dyDescent="0.3">
      <c r="A50" s="139"/>
      <c r="B50" s="67"/>
      <c r="C50" s="110">
        <v>1</v>
      </c>
      <c r="D50" s="68"/>
      <c r="E50" s="69"/>
      <c r="F50" s="70"/>
      <c r="G50" s="69"/>
      <c r="H50" s="71"/>
      <c r="I50" s="73"/>
      <c r="J50" s="70"/>
      <c r="K50" s="69"/>
      <c r="L50" s="69"/>
      <c r="M50" s="146"/>
    </row>
    <row r="51" spans="1:19" s="11" customFormat="1" ht="14.25" customHeight="1" x14ac:dyDescent="0.3">
      <c r="A51" s="143">
        <v>5</v>
      </c>
      <c r="B51" s="65"/>
      <c r="C51" s="77">
        <v>0.2</v>
      </c>
      <c r="D51" s="66"/>
      <c r="E51" s="49"/>
      <c r="F51" s="50"/>
      <c r="G51" s="49"/>
      <c r="H51" s="51"/>
      <c r="I51" s="52"/>
      <c r="J51" s="50"/>
      <c r="K51" s="49"/>
      <c r="L51" s="49"/>
      <c r="M51" s="140" t="s">
        <v>33</v>
      </c>
      <c r="R51" s="13"/>
    </row>
    <row r="52" spans="1:19" s="11" customFormat="1" ht="14.25" customHeight="1" x14ac:dyDescent="0.3">
      <c r="A52" s="144"/>
      <c r="B52" s="67"/>
      <c r="C52" s="31"/>
      <c r="D52" s="68"/>
      <c r="E52" s="78"/>
      <c r="F52" s="79"/>
      <c r="G52" s="69"/>
      <c r="H52" s="71"/>
      <c r="I52" s="73"/>
      <c r="J52" s="78"/>
      <c r="K52" s="78"/>
      <c r="L52" s="78"/>
      <c r="M52" s="141"/>
      <c r="R52" s="13"/>
    </row>
    <row r="53" spans="1:19" s="11" customFormat="1" ht="14.25" customHeight="1" x14ac:dyDescent="0.3">
      <c r="A53" s="144"/>
      <c r="B53" s="67"/>
      <c r="D53" s="68"/>
      <c r="E53" s="69">
        <v>10</v>
      </c>
      <c r="F53" s="70">
        <f>(C51+C54+C56)-(4*(E53/1000))</f>
        <v>1.1599999999999999</v>
      </c>
      <c r="G53" s="69">
        <v>200</v>
      </c>
      <c r="H53" s="71">
        <v>2</v>
      </c>
      <c r="I53" s="69">
        <f>ROUND((T17)/(G53/1000)+1,0)</f>
        <v>401</v>
      </c>
      <c r="J53" s="70">
        <f>F53*H53*I53</f>
        <v>930.31999999999994</v>
      </c>
      <c r="K53" s="70">
        <f>ROUND((E53*E53)/162,3)</f>
        <v>0.61699999999999999</v>
      </c>
      <c r="L53" s="69">
        <f>ROUND(J53*K53,3)</f>
        <v>574.00699999999995</v>
      </c>
      <c r="M53" s="141"/>
      <c r="R53" s="13"/>
    </row>
    <row r="54" spans="1:19" s="11" customFormat="1" ht="14.25" customHeight="1" x14ac:dyDescent="0.3">
      <c r="A54" s="144"/>
      <c r="B54" s="67"/>
      <c r="C54" s="110">
        <v>0.8</v>
      </c>
      <c r="D54" s="80"/>
      <c r="E54" s="69"/>
      <c r="F54" s="70"/>
      <c r="G54" s="69"/>
      <c r="H54" s="71"/>
      <c r="I54" s="73"/>
      <c r="J54" s="70"/>
      <c r="K54" s="69"/>
      <c r="L54" s="69"/>
      <c r="M54" s="141"/>
      <c r="R54" s="13"/>
    </row>
    <row r="55" spans="1:19" s="11" customFormat="1" ht="14.25" customHeight="1" x14ac:dyDescent="0.3">
      <c r="A55" s="144"/>
      <c r="B55" s="67"/>
      <c r="C55" s="31"/>
      <c r="D55" s="68"/>
      <c r="E55" s="69"/>
      <c r="F55" s="70"/>
      <c r="G55" s="69"/>
      <c r="H55" s="71"/>
      <c r="I55" s="73"/>
      <c r="J55" s="70"/>
      <c r="K55" s="69"/>
      <c r="L55" s="69"/>
      <c r="M55" s="141"/>
      <c r="R55" s="13"/>
    </row>
    <row r="56" spans="1:19" s="11" customFormat="1" ht="14.25" customHeight="1" x14ac:dyDescent="0.3">
      <c r="A56" s="144"/>
      <c r="B56" s="67"/>
      <c r="C56" s="117">
        <f>C51</f>
        <v>0.2</v>
      </c>
      <c r="D56" s="68"/>
      <c r="E56" s="69"/>
      <c r="F56" s="70"/>
      <c r="G56" s="69"/>
      <c r="H56" s="71"/>
      <c r="I56" s="73"/>
      <c r="J56" s="70"/>
      <c r="K56" s="69"/>
      <c r="L56" s="69"/>
      <c r="M56" s="141"/>
      <c r="R56" s="13"/>
    </row>
    <row r="57" spans="1:19" s="11" customFormat="1" ht="14.25" customHeight="1" x14ac:dyDescent="0.3">
      <c r="A57" s="145"/>
      <c r="B57" s="58"/>
      <c r="C57" s="81"/>
      <c r="D57" s="60"/>
      <c r="E57" s="61"/>
      <c r="F57" s="62"/>
      <c r="G57" s="61"/>
      <c r="H57" s="63"/>
      <c r="I57" s="64"/>
      <c r="J57" s="62"/>
      <c r="K57" s="61"/>
      <c r="L57" s="61"/>
      <c r="M57" s="142"/>
      <c r="R57" s="13"/>
    </row>
    <row r="58" spans="1:19" s="11" customFormat="1" ht="14.25" customHeight="1" x14ac:dyDescent="0.3">
      <c r="A58" s="137">
        <v>6</v>
      </c>
      <c r="B58" s="65"/>
      <c r="C58" s="47"/>
      <c r="D58" s="66"/>
      <c r="E58" s="49"/>
      <c r="F58" s="50"/>
      <c r="G58" s="49"/>
      <c r="H58" s="51"/>
      <c r="I58" s="52"/>
      <c r="J58" s="50"/>
      <c r="K58" s="49"/>
      <c r="L58" s="49"/>
      <c r="M58" s="140" t="s">
        <v>29</v>
      </c>
      <c r="R58" s="13"/>
      <c r="S58" s="11">
        <f>S35-S36</f>
        <v>533.29333333333341</v>
      </c>
    </row>
    <row r="59" spans="1:19" s="11" customFormat="1" ht="14.25" customHeight="1" x14ac:dyDescent="0.3">
      <c r="A59" s="138"/>
      <c r="B59" s="67"/>
      <c r="C59" s="110">
        <v>0.6</v>
      </c>
      <c r="D59" s="68"/>
      <c r="E59" s="69"/>
      <c r="F59" s="70"/>
      <c r="G59" s="69"/>
      <c r="H59" s="71"/>
      <c r="I59" s="73"/>
      <c r="J59" s="70"/>
      <c r="K59" s="69"/>
      <c r="L59" s="69"/>
      <c r="M59" s="141"/>
      <c r="R59" s="13"/>
    </row>
    <row r="60" spans="1:19" s="11" customFormat="1" ht="14.25" customHeight="1" x14ac:dyDescent="0.3">
      <c r="A60" s="138"/>
      <c r="B60" s="67"/>
      <c r="C60" s="110"/>
      <c r="D60" s="68"/>
      <c r="E60" s="69"/>
      <c r="F60" s="70"/>
      <c r="G60" s="69"/>
      <c r="H60" s="71"/>
      <c r="I60" s="73"/>
      <c r="J60" s="70"/>
      <c r="K60" s="69"/>
      <c r="L60" s="69"/>
      <c r="M60" s="141"/>
      <c r="R60" s="13"/>
    </row>
    <row r="61" spans="1:19" s="11" customFormat="1" ht="14.25" customHeight="1" x14ac:dyDescent="0.3">
      <c r="A61" s="138"/>
      <c r="B61" s="67"/>
      <c r="C61" s="110">
        <v>3.6</v>
      </c>
      <c r="D61" s="68"/>
      <c r="E61" s="69">
        <v>12</v>
      </c>
      <c r="F61" s="70">
        <f>C61+C59+C64-(4*E61/1000)</f>
        <v>4.6020000000000003</v>
      </c>
      <c r="G61" s="69">
        <v>200</v>
      </c>
      <c r="H61" s="71">
        <v>2</v>
      </c>
      <c r="I61" s="73">
        <f>ROUND((T17)/(G61/1000)+1,0)</f>
        <v>401</v>
      </c>
      <c r="J61" s="70">
        <f>(F61*H61*I61)</f>
        <v>3690.8040000000001</v>
      </c>
      <c r="K61" s="70">
        <f>ROUND((E61*E61)/162,3)</f>
        <v>0.88900000000000001</v>
      </c>
      <c r="L61" s="69">
        <f>ROUND(J61*K61,3)</f>
        <v>3281.125</v>
      </c>
      <c r="M61" s="141"/>
      <c r="R61" s="13"/>
    </row>
    <row r="62" spans="1:19" s="11" customFormat="1" ht="14.25" customHeight="1" x14ac:dyDescent="0.3">
      <c r="A62" s="138"/>
      <c r="B62" s="67"/>
      <c r="C62" s="110"/>
      <c r="D62" s="68"/>
      <c r="E62" s="69"/>
      <c r="F62" s="70"/>
      <c r="G62" s="69"/>
      <c r="H62" s="71"/>
      <c r="I62" s="73"/>
      <c r="J62" s="70"/>
      <c r="K62" s="69"/>
      <c r="L62" s="69"/>
      <c r="M62" s="141"/>
      <c r="R62" s="13"/>
    </row>
    <row r="63" spans="1:19" s="11" customFormat="1" ht="14.25" customHeight="1" x14ac:dyDescent="0.3">
      <c r="A63" s="138"/>
      <c r="B63" s="67"/>
      <c r="C63" s="110"/>
      <c r="D63" s="68"/>
      <c r="E63" s="69"/>
      <c r="F63" s="70"/>
      <c r="G63" s="69"/>
      <c r="H63" s="71"/>
      <c r="I63" s="73"/>
      <c r="J63" s="70"/>
      <c r="K63" s="69"/>
      <c r="L63" s="69"/>
      <c r="M63" s="141"/>
      <c r="R63" s="13"/>
    </row>
    <row r="64" spans="1:19" s="11" customFormat="1" ht="14.25" customHeight="1" x14ac:dyDescent="0.3">
      <c r="A64" s="138"/>
      <c r="B64" s="67"/>
      <c r="C64" s="110">
        <v>0.45</v>
      </c>
      <c r="D64" s="68"/>
      <c r="E64" s="69"/>
      <c r="F64" s="70"/>
      <c r="G64" s="69"/>
      <c r="H64" s="71"/>
      <c r="I64" s="73"/>
      <c r="J64" s="70"/>
      <c r="K64" s="69"/>
      <c r="L64" s="69"/>
      <c r="M64" s="141"/>
      <c r="R64" s="13"/>
    </row>
    <row r="65" spans="1:18" s="11" customFormat="1" ht="14.25" customHeight="1" x14ac:dyDescent="0.3">
      <c r="A65" s="139"/>
      <c r="B65" s="58"/>
      <c r="C65" s="59"/>
      <c r="D65" s="60"/>
      <c r="E65" s="61"/>
      <c r="F65" s="62"/>
      <c r="G65" s="61"/>
      <c r="H65" s="63"/>
      <c r="I65" s="64"/>
      <c r="J65" s="62"/>
      <c r="K65" s="61"/>
      <c r="L65" s="61"/>
      <c r="M65" s="142"/>
      <c r="R65" s="13"/>
    </row>
    <row r="66" spans="1:18" s="11" customFormat="1" ht="21" customHeight="1" x14ac:dyDescent="0.3">
      <c r="A66" s="137">
        <v>7</v>
      </c>
      <c r="B66" s="82"/>
      <c r="C66" s="118">
        <v>0.2</v>
      </c>
      <c r="D66" s="68"/>
      <c r="E66" s="69"/>
      <c r="F66" s="72"/>
      <c r="G66" s="69"/>
      <c r="H66" s="71"/>
      <c r="I66" s="69"/>
      <c r="J66" s="72"/>
      <c r="K66" s="70"/>
      <c r="L66" s="69"/>
      <c r="M66" s="140" t="s">
        <v>30</v>
      </c>
      <c r="R66" s="13"/>
    </row>
    <row r="67" spans="1:18" s="11" customFormat="1" ht="21" customHeight="1" x14ac:dyDescent="0.3">
      <c r="A67" s="138"/>
      <c r="B67" s="82"/>
      <c r="C67" s="110"/>
      <c r="D67" s="68"/>
      <c r="E67" s="69"/>
      <c r="F67" s="72"/>
      <c r="G67" s="69"/>
      <c r="H67" s="71"/>
      <c r="I67" s="69"/>
      <c r="J67" s="72"/>
      <c r="K67" s="70"/>
      <c r="L67" s="69"/>
      <c r="M67" s="141"/>
      <c r="R67" s="13"/>
    </row>
    <row r="68" spans="1:18" s="11" customFormat="1" ht="21" customHeight="1" x14ac:dyDescent="0.3">
      <c r="A68" s="138"/>
      <c r="B68" s="82"/>
      <c r="C68" s="119">
        <v>3.6</v>
      </c>
      <c r="D68" s="68"/>
      <c r="E68" s="69">
        <v>12</v>
      </c>
      <c r="F68" s="72">
        <f>(C66+C68+D69+C70+C69)-(8*E68/1000)</f>
        <v>4.5540000000000003</v>
      </c>
      <c r="G68" s="69">
        <v>150</v>
      </c>
      <c r="H68" s="71">
        <v>2</v>
      </c>
      <c r="I68" s="69">
        <f>ROUND((T21)/(G68/1000)+1,0)</f>
        <v>11</v>
      </c>
      <c r="J68" s="72">
        <f>F68*H68*I68</f>
        <v>100.188</v>
      </c>
      <c r="K68" s="70">
        <f>ROUND((E68*E68)/162,3)</f>
        <v>0.88900000000000001</v>
      </c>
      <c r="L68" s="69">
        <f>ROUND(J68*K68,3)</f>
        <v>89.066999999999993</v>
      </c>
      <c r="M68" s="141"/>
      <c r="R68" s="13"/>
    </row>
    <row r="69" spans="1:18" s="11" customFormat="1" ht="21" customHeight="1" x14ac:dyDescent="0.3">
      <c r="A69" s="138"/>
      <c r="B69" s="82"/>
      <c r="C69" s="118">
        <v>0.45</v>
      </c>
      <c r="D69" s="80">
        <f>X26-T12-T10</f>
        <v>0.22499999999999998</v>
      </c>
      <c r="E69" s="69"/>
      <c r="F69" s="72"/>
      <c r="G69" s="69"/>
      <c r="H69" s="71"/>
      <c r="I69" s="69"/>
      <c r="J69" s="72"/>
      <c r="K69" s="70"/>
      <c r="L69" s="69"/>
      <c r="M69" s="141"/>
      <c r="R69" s="13"/>
    </row>
    <row r="70" spans="1:18" s="11" customFormat="1" ht="21" customHeight="1" x14ac:dyDescent="0.3">
      <c r="A70" s="138"/>
      <c r="B70" s="82"/>
      <c r="C70" s="109">
        <f>V16-T12-T10</f>
        <v>0.17499999999999999</v>
      </c>
      <c r="D70" s="68"/>
      <c r="E70" s="69"/>
      <c r="F70" s="72"/>
      <c r="G70" s="69"/>
      <c r="H70" s="71"/>
      <c r="I70" s="69"/>
      <c r="J70" s="72"/>
      <c r="K70" s="70"/>
      <c r="L70" s="69"/>
      <c r="M70" s="141"/>
      <c r="R70" s="13"/>
    </row>
    <row r="71" spans="1:18" s="11" customFormat="1" ht="14.25" customHeight="1" x14ac:dyDescent="0.3">
      <c r="A71" s="137">
        <v>8</v>
      </c>
      <c r="B71" s="65"/>
      <c r="C71" s="47"/>
      <c r="D71" s="66"/>
      <c r="E71" s="49"/>
      <c r="F71" s="50"/>
      <c r="G71" s="49"/>
      <c r="H71" s="51"/>
      <c r="I71" s="52"/>
      <c r="J71" s="50"/>
      <c r="K71" s="49"/>
      <c r="L71" s="49"/>
      <c r="M71" s="140" t="s">
        <v>76</v>
      </c>
      <c r="R71" s="13"/>
    </row>
    <row r="72" spans="1:18" s="11" customFormat="1" ht="14.25" customHeight="1" x14ac:dyDescent="0.3">
      <c r="A72" s="138"/>
      <c r="B72" s="67"/>
      <c r="C72" s="116">
        <f>(T17-T12-T12)+((T17/12)-1)*(50*E72)/1000</f>
        <v>82.733333333333334</v>
      </c>
      <c r="D72" s="68"/>
      <c r="E72" s="69">
        <v>10</v>
      </c>
      <c r="F72" s="70">
        <f>C72</f>
        <v>82.733333333333334</v>
      </c>
      <c r="G72" s="69">
        <v>200</v>
      </c>
      <c r="H72" s="71">
        <v>4</v>
      </c>
      <c r="I72" s="69">
        <f>ROUND((X16)/(G72/1000)+1,0)</f>
        <v>16</v>
      </c>
      <c r="J72" s="72">
        <f>F72*H72*I72</f>
        <v>5294.9333333333334</v>
      </c>
      <c r="K72" s="70">
        <f>ROUND((E72*E72)/162,3)</f>
        <v>0.61699999999999999</v>
      </c>
      <c r="L72" s="69">
        <f>ROUND(J72*K72,3)</f>
        <v>3266.9740000000002</v>
      </c>
      <c r="M72" s="141"/>
      <c r="R72" s="13"/>
    </row>
    <row r="73" spans="1:18" s="11" customFormat="1" ht="14.25" customHeight="1" x14ac:dyDescent="0.3">
      <c r="A73" s="138"/>
      <c r="B73" s="67"/>
      <c r="C73" s="110"/>
      <c r="D73" s="68"/>
      <c r="E73" s="69"/>
      <c r="F73" s="70"/>
      <c r="G73" s="69"/>
      <c r="H73" s="71"/>
      <c r="I73" s="73"/>
      <c r="J73" s="72"/>
      <c r="K73" s="69"/>
      <c r="L73" s="69"/>
      <c r="M73" s="141"/>
      <c r="R73" s="13"/>
    </row>
    <row r="74" spans="1:18" s="11" customFormat="1" ht="14.25" customHeight="1" x14ac:dyDescent="0.3">
      <c r="A74" s="139"/>
      <c r="B74" s="74"/>
      <c r="C74" s="59"/>
      <c r="D74" s="60"/>
      <c r="E74" s="61"/>
      <c r="F74" s="75"/>
      <c r="G74" s="61"/>
      <c r="H74" s="63"/>
      <c r="I74" s="61"/>
      <c r="J74" s="75"/>
      <c r="K74" s="62"/>
      <c r="L74" s="61"/>
      <c r="M74" s="142"/>
      <c r="R74" s="13"/>
    </row>
    <row r="75" spans="1:18" s="11" customFormat="1" ht="14.25" customHeight="1" x14ac:dyDescent="0.3">
      <c r="A75" s="143">
        <v>9</v>
      </c>
      <c r="B75" s="65"/>
      <c r="C75" s="77">
        <v>0.2</v>
      </c>
      <c r="D75" s="66"/>
      <c r="E75" s="49"/>
      <c r="F75" s="50"/>
      <c r="G75" s="49"/>
      <c r="H75" s="51"/>
      <c r="I75" s="52"/>
      <c r="J75" s="50"/>
      <c r="K75" s="49"/>
      <c r="L75" s="49"/>
      <c r="M75" s="140" t="s">
        <v>32</v>
      </c>
      <c r="R75" s="13"/>
    </row>
    <row r="76" spans="1:18" s="11" customFormat="1" ht="14.25" customHeight="1" x14ac:dyDescent="0.3">
      <c r="A76" s="144"/>
      <c r="B76" s="67"/>
      <c r="C76" s="31"/>
      <c r="D76" s="68"/>
      <c r="E76" s="78"/>
      <c r="F76" s="79"/>
      <c r="G76" s="69"/>
      <c r="H76" s="71"/>
      <c r="I76" s="73"/>
      <c r="J76" s="78"/>
      <c r="K76" s="78"/>
      <c r="L76" s="78"/>
      <c r="M76" s="141"/>
      <c r="R76" s="13"/>
    </row>
    <row r="77" spans="1:18" s="11" customFormat="1" ht="14.25" customHeight="1" x14ac:dyDescent="0.3">
      <c r="A77" s="144"/>
      <c r="B77" s="67"/>
      <c r="D77" s="68"/>
      <c r="E77" s="69">
        <v>10</v>
      </c>
      <c r="F77" s="70">
        <f>(C75+C78+C80)-(4*(E77/1000))</f>
        <v>1.1599999999999999</v>
      </c>
      <c r="G77" s="69">
        <v>200</v>
      </c>
      <c r="H77" s="71">
        <v>2</v>
      </c>
      <c r="I77" s="69">
        <f>ROUND((T17)/(G77/1000)+1,0)</f>
        <v>401</v>
      </c>
      <c r="J77" s="70">
        <f>F77*H77*I77</f>
        <v>930.31999999999994</v>
      </c>
      <c r="K77" s="70">
        <f>ROUND((E77*E77)/162,3)</f>
        <v>0.61699999999999999</v>
      </c>
      <c r="L77" s="69">
        <f>ROUND(J77*K77,3)</f>
        <v>574.00699999999995</v>
      </c>
      <c r="M77" s="141"/>
      <c r="R77" s="13"/>
    </row>
    <row r="78" spans="1:18" s="11" customFormat="1" ht="14.25" customHeight="1" x14ac:dyDescent="0.3">
      <c r="A78" s="144"/>
      <c r="B78" s="67"/>
      <c r="C78" s="110">
        <v>0.8</v>
      </c>
      <c r="D78" s="80"/>
      <c r="E78" s="69"/>
      <c r="F78" s="70"/>
      <c r="G78" s="69"/>
      <c r="H78" s="71"/>
      <c r="I78" s="73"/>
      <c r="J78" s="70"/>
      <c r="K78" s="69"/>
      <c r="L78" s="69"/>
      <c r="M78" s="141"/>
      <c r="R78" s="13"/>
    </row>
    <row r="79" spans="1:18" s="11" customFormat="1" ht="14.25" customHeight="1" x14ac:dyDescent="0.3">
      <c r="A79" s="144"/>
      <c r="B79" s="67"/>
      <c r="C79" s="31"/>
      <c r="D79" s="68"/>
      <c r="E79" s="69"/>
      <c r="F79" s="70"/>
      <c r="G79" s="69"/>
      <c r="H79" s="71"/>
      <c r="I79" s="73"/>
      <c r="J79" s="70"/>
      <c r="K79" s="69"/>
      <c r="L79" s="69"/>
      <c r="M79" s="141"/>
      <c r="R79" s="13"/>
    </row>
    <row r="80" spans="1:18" s="11" customFormat="1" ht="14.25" customHeight="1" x14ac:dyDescent="0.3">
      <c r="A80" s="144"/>
      <c r="B80" s="67"/>
      <c r="C80" s="117">
        <f>C75</f>
        <v>0.2</v>
      </c>
      <c r="D80" s="68"/>
      <c r="E80" s="69"/>
      <c r="F80" s="70"/>
      <c r="G80" s="69"/>
      <c r="H80" s="71"/>
      <c r="I80" s="73"/>
      <c r="J80" s="70"/>
      <c r="K80" s="69"/>
      <c r="L80" s="69"/>
      <c r="M80" s="141"/>
      <c r="R80" s="13"/>
    </row>
    <row r="81" spans="1:22" s="11" customFormat="1" ht="14.25" customHeight="1" x14ac:dyDescent="0.3">
      <c r="A81" s="144"/>
      <c r="B81" s="67"/>
      <c r="C81" s="109"/>
      <c r="D81" s="68"/>
      <c r="E81" s="69"/>
      <c r="F81" s="70"/>
      <c r="G81" s="69"/>
      <c r="H81" s="71"/>
      <c r="I81" s="73"/>
      <c r="J81" s="70"/>
      <c r="K81" s="69"/>
      <c r="L81" s="69"/>
      <c r="M81" s="141"/>
      <c r="R81" s="13"/>
    </row>
    <row r="82" spans="1:22" s="11" customFormat="1" ht="14.25" customHeight="1" x14ac:dyDescent="0.3">
      <c r="A82" s="145"/>
      <c r="B82" s="84"/>
      <c r="C82" s="85"/>
      <c r="D82" s="60"/>
      <c r="E82" s="61"/>
      <c r="F82" s="62"/>
      <c r="G82" s="61"/>
      <c r="H82" s="63"/>
      <c r="I82" s="64"/>
      <c r="J82" s="62"/>
      <c r="K82" s="62"/>
      <c r="L82" s="61"/>
      <c r="M82" s="142"/>
      <c r="R82" s="13"/>
    </row>
    <row r="83" spans="1:22" s="11" customFormat="1" ht="19.5" customHeight="1" x14ac:dyDescent="0.3">
      <c r="A83" s="137">
        <v>10</v>
      </c>
      <c r="B83" s="67"/>
      <c r="C83" s="110"/>
      <c r="D83" s="68"/>
      <c r="E83" s="69"/>
      <c r="F83" s="70"/>
      <c r="G83" s="49"/>
      <c r="H83" s="51"/>
      <c r="I83" s="52"/>
      <c r="J83" s="50"/>
      <c r="K83" s="49"/>
      <c r="L83" s="49"/>
      <c r="M83" s="140" t="s">
        <v>72</v>
      </c>
    </row>
    <row r="84" spans="1:22" s="11" customFormat="1" ht="19.5" customHeight="1" x14ac:dyDescent="0.3">
      <c r="A84" s="138"/>
      <c r="B84" s="67"/>
      <c r="C84" s="110"/>
      <c r="D84" s="68"/>
      <c r="E84" s="69"/>
      <c r="F84" s="70"/>
      <c r="G84" s="69"/>
      <c r="H84" s="71"/>
      <c r="I84" s="73"/>
      <c r="J84" s="70"/>
      <c r="K84" s="69"/>
      <c r="L84" s="69"/>
      <c r="M84" s="141"/>
    </row>
    <row r="85" spans="1:22" s="11" customFormat="1" ht="19.5" customHeight="1" x14ac:dyDescent="0.3">
      <c r="A85" s="138"/>
      <c r="B85" s="67"/>
      <c r="C85" s="110"/>
      <c r="D85" s="68"/>
      <c r="E85" s="69"/>
      <c r="F85" s="70"/>
      <c r="G85" s="69"/>
      <c r="H85" s="71"/>
      <c r="I85" s="73"/>
      <c r="J85" s="70"/>
      <c r="K85" s="69"/>
      <c r="L85" s="69"/>
      <c r="M85" s="141"/>
    </row>
    <row r="86" spans="1:22" s="11" customFormat="1" ht="19.5" customHeight="1" x14ac:dyDescent="0.3">
      <c r="A86" s="138"/>
      <c r="B86" s="67"/>
      <c r="C86" s="110"/>
      <c r="D86" s="68"/>
      <c r="E86" s="69">
        <v>12</v>
      </c>
      <c r="F86" s="70">
        <f>((B87+C90)-(2*(E86/1000)))</f>
        <v>1.976</v>
      </c>
      <c r="G86" s="69">
        <v>200</v>
      </c>
      <c r="H86" s="71">
        <v>2</v>
      </c>
      <c r="I86" s="73">
        <f>ROUND((T17)/(G86/1000)+1,0)</f>
        <v>401</v>
      </c>
      <c r="J86" s="70">
        <f>(F86*H86*I86)</f>
        <v>1584.752</v>
      </c>
      <c r="K86" s="70">
        <f>ROUND((E86*E86)/162,3)</f>
        <v>0.88900000000000001</v>
      </c>
      <c r="L86" s="69">
        <f>ROUND(J86*K86,3)</f>
        <v>1408.845</v>
      </c>
      <c r="M86" s="141"/>
    </row>
    <row r="87" spans="1:22" s="11" customFormat="1" ht="19.5" customHeight="1" x14ac:dyDescent="0.3">
      <c r="A87" s="138"/>
      <c r="B87" s="76">
        <v>1</v>
      </c>
      <c r="C87" s="110"/>
      <c r="D87" s="68"/>
      <c r="E87" s="69"/>
      <c r="F87" s="70"/>
      <c r="G87" s="69"/>
      <c r="H87" s="71"/>
      <c r="I87" s="73"/>
      <c r="J87" s="70"/>
      <c r="K87" s="69"/>
      <c r="L87" s="69"/>
      <c r="M87" s="141"/>
    </row>
    <row r="88" spans="1:22" s="11" customFormat="1" ht="19.5" customHeight="1" x14ac:dyDescent="0.3">
      <c r="A88" s="138"/>
      <c r="B88" s="67"/>
      <c r="C88" s="110"/>
      <c r="D88" s="68"/>
      <c r="E88" s="69"/>
      <c r="F88" s="70"/>
      <c r="G88" s="69"/>
      <c r="H88" s="71"/>
      <c r="I88" s="73"/>
      <c r="J88" s="70"/>
      <c r="K88" s="69"/>
      <c r="L88" s="69"/>
      <c r="M88" s="141"/>
    </row>
    <row r="89" spans="1:22" s="11" customFormat="1" ht="19.5" customHeight="1" x14ac:dyDescent="0.3">
      <c r="A89" s="138"/>
      <c r="B89" s="67"/>
      <c r="C89" s="110"/>
      <c r="D89" s="68"/>
      <c r="E89" s="69"/>
      <c r="F89" s="70"/>
      <c r="G89" s="69"/>
      <c r="H89" s="71"/>
      <c r="I89" s="73"/>
      <c r="J89" s="70"/>
      <c r="K89" s="69"/>
      <c r="L89" s="69"/>
      <c r="M89" s="141"/>
    </row>
    <row r="90" spans="1:22" s="11" customFormat="1" ht="19.5" customHeight="1" x14ac:dyDescent="0.3">
      <c r="A90" s="138"/>
      <c r="B90" s="67"/>
      <c r="C90" s="110">
        <v>1</v>
      </c>
      <c r="D90" s="68"/>
      <c r="E90" s="69"/>
      <c r="F90" s="70"/>
      <c r="G90" s="69"/>
      <c r="H90" s="71"/>
      <c r="I90" s="73"/>
      <c r="J90" s="70"/>
      <c r="K90" s="69"/>
      <c r="L90" s="69"/>
      <c r="M90" s="141"/>
    </row>
    <row r="91" spans="1:22" s="11" customFormat="1" ht="20.25" customHeight="1" x14ac:dyDescent="0.3">
      <c r="A91" s="139"/>
      <c r="B91" s="74"/>
      <c r="C91" s="81"/>
      <c r="D91" s="60"/>
      <c r="E91" s="61"/>
      <c r="F91" s="75"/>
      <c r="G91" s="61"/>
      <c r="H91" s="63"/>
      <c r="I91" s="61"/>
      <c r="J91" s="62"/>
      <c r="K91" s="62"/>
      <c r="L91" s="61"/>
      <c r="M91" s="142"/>
      <c r="R91" s="13"/>
    </row>
    <row r="92" spans="1:22" s="11" customFormat="1" ht="30" customHeight="1" x14ac:dyDescent="0.3">
      <c r="A92" s="137">
        <v>11</v>
      </c>
      <c r="B92" s="46">
        <v>0.2</v>
      </c>
      <c r="C92" s="47">
        <f>X6-T12-T12</f>
        <v>3.0000000000000004</v>
      </c>
      <c r="D92" s="48">
        <f>B92</f>
        <v>0.2</v>
      </c>
      <c r="E92" s="49">
        <v>12</v>
      </c>
      <c r="F92" s="83">
        <f>(B92+C92+D92)-(4*(E92/1000))</f>
        <v>3.3520000000000008</v>
      </c>
      <c r="G92" s="49">
        <v>150</v>
      </c>
      <c r="H92" s="51">
        <v>1</v>
      </c>
      <c r="I92" s="52">
        <f>ROUND((T17)/(G92/1000)+1,0)</f>
        <v>534</v>
      </c>
      <c r="J92" s="50">
        <f>(F92*H92*I92)</f>
        <v>1789.9680000000003</v>
      </c>
      <c r="K92" s="50">
        <f>ROUND((E92*E92)/162,3)</f>
        <v>0.88900000000000001</v>
      </c>
      <c r="L92" s="49">
        <f>ROUND(J92*K92,3)</f>
        <v>1591.2819999999999</v>
      </c>
      <c r="M92" s="140" t="s">
        <v>71</v>
      </c>
      <c r="Q92" s="34"/>
      <c r="T92" s="154"/>
      <c r="U92" s="154"/>
      <c r="V92" s="57"/>
    </row>
    <row r="93" spans="1:22" s="11" customFormat="1" ht="19.2" customHeight="1" x14ac:dyDescent="0.3">
      <c r="A93" s="138"/>
      <c r="B93" s="58"/>
      <c r="C93" s="59"/>
      <c r="D93" s="60"/>
      <c r="E93" s="61"/>
      <c r="F93" s="62"/>
      <c r="G93" s="61"/>
      <c r="H93" s="63"/>
      <c r="I93" s="64"/>
      <c r="J93" s="62"/>
      <c r="K93" s="61"/>
      <c r="L93" s="61"/>
      <c r="M93" s="141"/>
    </row>
    <row r="94" spans="1:22" s="11" customFormat="1" ht="30" customHeight="1" x14ac:dyDescent="0.3">
      <c r="A94" s="137">
        <v>12</v>
      </c>
      <c r="B94" s="46">
        <v>0.2</v>
      </c>
      <c r="C94" s="47">
        <f>X6-(T12*2)</f>
        <v>3</v>
      </c>
      <c r="D94" s="48">
        <f>B94</f>
        <v>0.2</v>
      </c>
      <c r="E94" s="49">
        <v>10</v>
      </c>
      <c r="F94" s="50">
        <f>(B94+C94+D94)-(4*(E94/1000))</f>
        <v>3.3600000000000003</v>
      </c>
      <c r="G94" s="49">
        <v>200</v>
      </c>
      <c r="H94" s="51">
        <v>1</v>
      </c>
      <c r="I94" s="52">
        <f>ROUND((T17)/(G94/1000)+1,0)</f>
        <v>401</v>
      </c>
      <c r="J94" s="50">
        <f>(F94*H94*I94)</f>
        <v>1347.3600000000001</v>
      </c>
      <c r="K94" s="50">
        <f>ROUND((E94*E94)/162,3)</f>
        <v>0.61699999999999999</v>
      </c>
      <c r="L94" s="49">
        <f>ROUND(J94*K94,3)</f>
        <v>831.32100000000003</v>
      </c>
      <c r="M94" s="140" t="s">
        <v>31</v>
      </c>
      <c r="Q94" s="34"/>
      <c r="T94" s="154"/>
      <c r="U94" s="154"/>
      <c r="V94" s="57"/>
    </row>
    <row r="95" spans="1:22" s="11" customFormat="1" ht="19.5" customHeight="1" x14ac:dyDescent="0.3">
      <c r="A95" s="138"/>
      <c r="B95" s="58"/>
      <c r="C95" s="59"/>
      <c r="D95" s="60"/>
      <c r="E95" s="61"/>
      <c r="F95" s="62"/>
      <c r="G95" s="61"/>
      <c r="H95" s="63"/>
      <c r="I95" s="73"/>
      <c r="J95" s="62"/>
      <c r="K95" s="61"/>
      <c r="L95" s="61"/>
      <c r="M95" s="141"/>
    </row>
    <row r="96" spans="1:22" s="11" customFormat="1" ht="14.25" customHeight="1" x14ac:dyDescent="0.3">
      <c r="A96" s="143">
        <v>13</v>
      </c>
      <c r="B96" s="65"/>
      <c r="C96" s="86"/>
      <c r="D96" s="66"/>
      <c r="E96" s="49"/>
      <c r="F96" s="50"/>
      <c r="G96" s="49"/>
      <c r="H96" s="107"/>
      <c r="I96" s="52"/>
      <c r="J96" s="66"/>
      <c r="K96" s="49"/>
      <c r="L96" s="49"/>
      <c r="M96" s="140" t="s">
        <v>77</v>
      </c>
      <c r="R96" s="13"/>
    </row>
    <row r="97" spans="1:18" s="11" customFormat="1" ht="14.25" customHeight="1" x14ac:dyDescent="0.3">
      <c r="A97" s="144"/>
      <c r="B97" s="67"/>
      <c r="C97" s="109"/>
      <c r="D97" s="68"/>
      <c r="E97" s="69"/>
      <c r="F97" s="70"/>
      <c r="G97" s="69"/>
      <c r="H97" s="106"/>
      <c r="I97" s="73"/>
      <c r="J97" s="68"/>
      <c r="K97" s="69"/>
      <c r="L97" s="69"/>
      <c r="M97" s="141"/>
      <c r="R97" s="13"/>
    </row>
    <row r="98" spans="1:18" s="11" customFormat="1" ht="14.25" customHeight="1" x14ac:dyDescent="0.3">
      <c r="A98" s="144"/>
      <c r="B98" s="67"/>
      <c r="C98" s="109"/>
      <c r="D98" s="68"/>
      <c r="E98" s="69"/>
      <c r="F98" s="70"/>
      <c r="G98" s="69"/>
      <c r="H98" s="106"/>
      <c r="I98" s="73"/>
      <c r="J98" s="68"/>
      <c r="K98" s="69"/>
      <c r="L98" s="69"/>
      <c r="M98" s="141"/>
      <c r="R98" s="13"/>
    </row>
    <row r="99" spans="1:18" s="11" customFormat="1" ht="14.25" customHeight="1" x14ac:dyDescent="0.3">
      <c r="A99" s="144"/>
      <c r="B99" s="67"/>
      <c r="C99" s="109"/>
      <c r="D99" s="68"/>
      <c r="E99" s="69">
        <v>10</v>
      </c>
      <c r="F99" s="70">
        <f>C100</f>
        <v>82.733333333333334</v>
      </c>
      <c r="G99" s="69">
        <v>200</v>
      </c>
      <c r="H99" s="106">
        <v>2</v>
      </c>
      <c r="I99" s="73">
        <f>ROUND((X6)/(G99/1000)+1,0)</f>
        <v>17</v>
      </c>
      <c r="J99" s="68">
        <f>F99*H99*I99</f>
        <v>2812.9333333333334</v>
      </c>
      <c r="K99" s="70">
        <f>ROUND((E99*E99)/162,3)</f>
        <v>0.61699999999999999</v>
      </c>
      <c r="L99" s="69">
        <f>ROUND(J99*K99,3)</f>
        <v>1735.58</v>
      </c>
      <c r="M99" s="141"/>
      <c r="R99" s="13"/>
    </row>
    <row r="100" spans="1:18" s="11" customFormat="1" ht="14.25" customHeight="1" x14ac:dyDescent="0.3">
      <c r="A100" s="144"/>
      <c r="B100" s="67"/>
      <c r="C100" s="109">
        <f>(T17-T12-T12)+((T17/12)-1)*((50*E99)/1000)</f>
        <v>82.733333333333334</v>
      </c>
      <c r="D100" s="68"/>
      <c r="E100" s="69"/>
      <c r="F100" s="70"/>
      <c r="G100" s="69"/>
      <c r="H100" s="106"/>
      <c r="I100" s="73"/>
      <c r="J100" s="68"/>
      <c r="K100" s="69"/>
      <c r="L100" s="69"/>
      <c r="M100" s="141"/>
      <c r="R100" s="13"/>
    </row>
    <row r="101" spans="1:18" s="11" customFormat="1" ht="14.25" customHeight="1" x14ac:dyDescent="0.3">
      <c r="A101" s="144"/>
      <c r="B101" s="67"/>
      <c r="C101" s="109"/>
      <c r="D101" s="68"/>
      <c r="E101" s="69"/>
      <c r="F101" s="70"/>
      <c r="G101" s="69"/>
      <c r="H101" s="106"/>
      <c r="I101" s="73"/>
      <c r="J101" s="68"/>
      <c r="K101" s="69"/>
      <c r="L101" s="69"/>
      <c r="M101" s="141"/>
      <c r="R101" s="13"/>
    </row>
    <row r="102" spans="1:18" s="11" customFormat="1" ht="14.25" customHeight="1" x14ac:dyDescent="0.3">
      <c r="A102" s="145"/>
      <c r="B102" s="58"/>
      <c r="C102" s="81"/>
      <c r="D102" s="60"/>
      <c r="E102" s="61"/>
      <c r="F102" s="62"/>
      <c r="G102" s="61"/>
      <c r="H102" s="108"/>
      <c r="I102" s="64"/>
      <c r="J102" s="60"/>
      <c r="K102" s="61"/>
      <c r="L102" s="61"/>
      <c r="M102" s="142"/>
      <c r="R102" s="13"/>
    </row>
    <row r="103" spans="1:18" s="112" customFormat="1" ht="20.25" customHeight="1" x14ac:dyDescent="0.3">
      <c r="A103" s="137">
        <v>14</v>
      </c>
      <c r="B103" s="65"/>
      <c r="C103" s="111">
        <f>T20-T10-T10</f>
        <v>0.14999999999999997</v>
      </c>
      <c r="D103" s="66"/>
      <c r="E103" s="49"/>
      <c r="F103" s="50"/>
      <c r="G103" s="49"/>
      <c r="H103" s="51"/>
      <c r="I103" s="52"/>
      <c r="J103" s="83"/>
      <c r="K103" s="49"/>
      <c r="L103" s="49"/>
      <c r="M103" s="140" t="s">
        <v>80</v>
      </c>
      <c r="R103" s="113"/>
    </row>
    <row r="104" spans="1:18" s="112" customFormat="1" ht="20.25" customHeight="1" x14ac:dyDescent="0.3">
      <c r="A104" s="138"/>
      <c r="B104" s="114"/>
      <c r="C104" s="120"/>
      <c r="D104" s="68"/>
      <c r="E104" s="69">
        <v>8</v>
      </c>
      <c r="F104" s="70">
        <f>(C103+D105+C106+B105)-(8*E104/1000)</f>
        <v>2.9359999999999999</v>
      </c>
      <c r="G104" s="69">
        <v>200</v>
      </c>
      <c r="H104" s="71">
        <v>2</v>
      </c>
      <c r="I104" s="73">
        <f>((T19/(G104/1000)))</f>
        <v>400</v>
      </c>
      <c r="J104" s="72">
        <f>F104*H104*I104</f>
        <v>2348.8000000000002</v>
      </c>
      <c r="K104" s="70">
        <f>ROUND((E104*E104)/162,3)</f>
        <v>0.39500000000000002</v>
      </c>
      <c r="L104" s="69">
        <f>ROUND(J104*K104,3)</f>
        <v>927.77599999999995</v>
      </c>
      <c r="M104" s="141"/>
      <c r="R104" s="113"/>
    </row>
    <row r="105" spans="1:18" s="112" customFormat="1" ht="20.25" customHeight="1" x14ac:dyDescent="0.3">
      <c r="A105" s="138"/>
      <c r="B105" s="114">
        <f>T21-T10-T10</f>
        <v>1.35</v>
      </c>
      <c r="C105" s="120"/>
      <c r="D105" s="68">
        <f>B105</f>
        <v>1.35</v>
      </c>
      <c r="E105" s="69"/>
      <c r="F105" s="70"/>
      <c r="G105" s="69"/>
      <c r="H105" s="71"/>
      <c r="I105" s="73"/>
      <c r="J105" s="70"/>
      <c r="K105" s="69"/>
      <c r="L105" s="69"/>
      <c r="M105" s="141"/>
      <c r="R105" s="113"/>
    </row>
    <row r="106" spans="1:18" s="112" customFormat="1" ht="20.25" customHeight="1" x14ac:dyDescent="0.3">
      <c r="A106" s="139"/>
      <c r="B106" s="74"/>
      <c r="C106" s="115">
        <f>C103</f>
        <v>0.14999999999999997</v>
      </c>
      <c r="D106" s="60"/>
      <c r="E106" s="61"/>
      <c r="F106" s="75"/>
      <c r="G106" s="61"/>
      <c r="H106" s="63"/>
      <c r="I106" s="61"/>
      <c r="J106" s="62"/>
      <c r="K106" s="62"/>
      <c r="L106" s="61"/>
      <c r="M106" s="142"/>
      <c r="R106" s="113"/>
    </row>
    <row r="107" spans="1:18" s="112" customFormat="1" ht="20.25" customHeight="1" x14ac:dyDescent="0.3">
      <c r="A107" s="137">
        <v>15</v>
      </c>
      <c r="B107" s="65"/>
      <c r="C107" s="86"/>
      <c r="D107" s="66"/>
      <c r="E107" s="49"/>
      <c r="F107" s="50"/>
      <c r="G107" s="49"/>
      <c r="H107" s="51"/>
      <c r="I107" s="52"/>
      <c r="J107" s="83"/>
      <c r="K107" s="49"/>
      <c r="L107" s="49"/>
      <c r="M107" s="140" t="s">
        <v>81</v>
      </c>
      <c r="R107" s="113"/>
    </row>
    <row r="108" spans="1:18" s="112" customFormat="1" ht="20.25" customHeight="1" x14ac:dyDescent="0.3">
      <c r="A108" s="138"/>
      <c r="B108" s="67"/>
      <c r="C108" s="120"/>
      <c r="D108" s="68"/>
      <c r="E108" s="69">
        <v>10</v>
      </c>
      <c r="F108" s="70">
        <f>C109</f>
        <v>82.683333333333323</v>
      </c>
      <c r="G108" s="69">
        <v>200</v>
      </c>
      <c r="H108" s="71">
        <v>4</v>
      </c>
      <c r="I108" s="73">
        <f>ROUND((T21)/(G108/1000)+1,0)</f>
        <v>9</v>
      </c>
      <c r="J108" s="72">
        <f>F108*H108*I108</f>
        <v>2976.5999999999995</v>
      </c>
      <c r="K108" s="70">
        <f>ROUND((E108*E108)/162,3)</f>
        <v>0.61699999999999999</v>
      </c>
      <c r="L108" s="69">
        <f>ROUND(J108*K108,3)</f>
        <v>1836.5619999999999</v>
      </c>
      <c r="M108" s="141"/>
      <c r="R108" s="113"/>
    </row>
    <row r="109" spans="1:18" s="112" customFormat="1" ht="20.25" customHeight="1" x14ac:dyDescent="0.3">
      <c r="A109" s="138"/>
      <c r="B109" s="67"/>
      <c r="C109" s="116">
        <f>(T17-T10-T10)+((T17/12)-1)*(50*E108)/1000</f>
        <v>82.683333333333323</v>
      </c>
      <c r="D109" s="68"/>
      <c r="E109" s="69"/>
      <c r="F109" s="70"/>
      <c r="G109" s="69"/>
      <c r="H109" s="71"/>
      <c r="I109" s="73"/>
      <c r="J109" s="70"/>
      <c r="K109" s="69"/>
      <c r="L109" s="69"/>
      <c r="M109" s="141"/>
      <c r="R109" s="113"/>
    </row>
    <row r="110" spans="1:18" s="112" customFormat="1" ht="20.25" customHeight="1" x14ac:dyDescent="0.3">
      <c r="A110" s="139"/>
      <c r="B110" s="74"/>
      <c r="C110" s="81"/>
      <c r="D110" s="60"/>
      <c r="E110" s="61"/>
      <c r="F110" s="75"/>
      <c r="G110" s="61"/>
      <c r="H110" s="63"/>
      <c r="I110" s="61"/>
      <c r="J110" s="62"/>
      <c r="K110" s="62"/>
      <c r="L110" s="61"/>
      <c r="M110" s="142"/>
      <c r="R110" s="113"/>
    </row>
    <row r="111" spans="1:18" s="112" customFormat="1" ht="20.25" customHeight="1" x14ac:dyDescent="0.3">
      <c r="A111" s="137">
        <v>16</v>
      </c>
      <c r="B111" s="65"/>
      <c r="C111" s="86"/>
      <c r="D111" s="66"/>
      <c r="E111" s="49"/>
      <c r="F111" s="50"/>
      <c r="G111" s="49"/>
      <c r="H111" s="51"/>
      <c r="I111" s="52"/>
      <c r="J111" s="83"/>
      <c r="K111" s="49"/>
      <c r="L111" s="49"/>
      <c r="M111" s="140" t="s">
        <v>82</v>
      </c>
      <c r="R111" s="113"/>
    </row>
    <row r="112" spans="1:18" s="112" customFormat="1" ht="20.25" customHeight="1" x14ac:dyDescent="0.3">
      <c r="A112" s="138"/>
      <c r="B112" s="67"/>
      <c r="C112" s="120"/>
      <c r="D112" s="68"/>
      <c r="E112" s="69">
        <v>12</v>
      </c>
      <c r="F112" s="70">
        <f>C113</f>
        <v>2.9499999999999997</v>
      </c>
      <c r="G112" s="69"/>
      <c r="H112" s="71">
        <v>2</v>
      </c>
      <c r="I112" s="69">
        <v>4</v>
      </c>
      <c r="J112" s="72">
        <f>F112*H112*I112</f>
        <v>23.599999999999998</v>
      </c>
      <c r="K112" s="70">
        <f>ROUND((E112*E112)/162,3)</f>
        <v>0.88900000000000001</v>
      </c>
      <c r="L112" s="69">
        <f>ROUND(J112*K112,3)</f>
        <v>20.98</v>
      </c>
      <c r="M112" s="141"/>
      <c r="R112" s="113"/>
    </row>
    <row r="113" spans="1:20" s="112" customFormat="1" ht="20.25" customHeight="1" x14ac:dyDescent="0.3">
      <c r="A113" s="138"/>
      <c r="B113" s="67"/>
      <c r="C113" s="116">
        <f>X6-T10-T10</f>
        <v>2.9499999999999997</v>
      </c>
      <c r="D113" s="68"/>
      <c r="E113" s="69"/>
      <c r="F113" s="70"/>
      <c r="G113" s="69"/>
      <c r="H113" s="71"/>
      <c r="I113" s="73"/>
      <c r="J113" s="70"/>
      <c r="K113" s="69"/>
      <c r="L113" s="69"/>
      <c r="M113" s="141"/>
      <c r="R113" s="113"/>
    </row>
    <row r="114" spans="1:20" s="112" customFormat="1" ht="20.25" customHeight="1" x14ac:dyDescent="0.3">
      <c r="A114" s="139"/>
      <c r="B114" s="74"/>
      <c r="C114" s="81"/>
      <c r="D114" s="60"/>
      <c r="E114" s="61"/>
      <c r="F114" s="75"/>
      <c r="G114" s="61"/>
      <c r="H114" s="63"/>
      <c r="I114" s="61"/>
      <c r="J114" s="62"/>
      <c r="K114" s="62"/>
      <c r="L114" s="61"/>
      <c r="M114" s="142"/>
      <c r="R114" s="113"/>
    </row>
    <row r="115" spans="1:20" s="11" customFormat="1" ht="15.75" customHeight="1" thickBot="1" x14ac:dyDescent="0.35">
      <c r="A115" s="121"/>
      <c r="B115" s="122"/>
      <c r="C115" s="123"/>
      <c r="D115" s="124"/>
      <c r="E115" s="125"/>
      <c r="F115" s="124"/>
      <c r="G115" s="126"/>
      <c r="H115" s="149" t="s">
        <v>34</v>
      </c>
      <c r="I115" s="149"/>
      <c r="J115" s="149"/>
      <c r="K115" s="149"/>
      <c r="L115" s="127">
        <f>SUM(L35:L114)</f>
        <v>23145.677</v>
      </c>
      <c r="M115" s="128"/>
    </row>
    <row r="116" spans="1:20" s="11" customFormat="1" ht="9.75" customHeight="1" thickBot="1" x14ac:dyDescent="0.25">
      <c r="A116" s="8"/>
      <c r="B116" s="10"/>
      <c r="C116" s="10"/>
      <c r="D116" s="10"/>
      <c r="E116" s="10"/>
      <c r="F116" s="28"/>
      <c r="G116" s="10"/>
      <c r="H116" s="87"/>
      <c r="I116" s="88"/>
      <c r="J116" s="28"/>
      <c r="K116" s="10"/>
      <c r="L116" s="89"/>
      <c r="M116" s="35"/>
    </row>
    <row r="117" spans="1:20" s="11" customFormat="1" ht="33" thickBot="1" x14ac:dyDescent="0.25">
      <c r="A117" s="8"/>
      <c r="B117" s="90" t="s">
        <v>35</v>
      </c>
      <c r="C117" s="91" t="s">
        <v>36</v>
      </c>
      <c r="D117" s="92" t="s">
        <v>37</v>
      </c>
      <c r="E117" s="10"/>
      <c r="F117" s="28"/>
      <c r="G117" s="10"/>
      <c r="H117" s="87"/>
      <c r="I117" s="88"/>
      <c r="J117" s="28"/>
      <c r="K117" s="10"/>
      <c r="L117" s="93" t="e">
        <f>#REF!</f>
        <v>#REF!</v>
      </c>
      <c r="M117" s="35"/>
      <c r="R117" s="13"/>
    </row>
    <row r="118" spans="1:20" s="11" customFormat="1" ht="16.2" x14ac:dyDescent="0.3">
      <c r="A118" s="8"/>
      <c r="B118" s="94">
        <v>1</v>
      </c>
      <c r="C118" s="95" t="s">
        <v>38</v>
      </c>
      <c r="D118" s="96">
        <f>(SUMIF($E$35:$E$114,"8",$L$35:$L$114)/1000)</f>
        <v>0.92777599999999993</v>
      </c>
      <c r="E118" s="9"/>
      <c r="G118" s="10"/>
      <c r="H118" s="12"/>
      <c r="I118" s="13"/>
      <c r="L118" s="97" t="e">
        <f>L115/L117</f>
        <v>#REF!</v>
      </c>
      <c r="M118" s="14"/>
      <c r="R118" s="13"/>
    </row>
    <row r="119" spans="1:20" s="11" customFormat="1" ht="16.2" x14ac:dyDescent="0.3">
      <c r="A119" s="8"/>
      <c r="B119" s="98">
        <v>2</v>
      </c>
      <c r="C119" s="99" t="s">
        <v>39</v>
      </c>
      <c r="D119" s="100">
        <f>(SUMIF($E$35:$E$114,"10",$L$35:$L$114)/1000)</f>
        <v>11.371931999999999</v>
      </c>
      <c r="E119" s="9"/>
      <c r="G119" s="10"/>
      <c r="H119" s="12"/>
      <c r="I119" s="13"/>
      <c r="K119" s="9"/>
      <c r="L119" s="9"/>
      <c r="M119" s="14"/>
      <c r="R119" s="13"/>
    </row>
    <row r="120" spans="1:20" s="11" customFormat="1" ht="16.2" x14ac:dyDescent="0.3">
      <c r="A120" s="8"/>
      <c r="B120" s="98">
        <v>3</v>
      </c>
      <c r="C120" s="99" t="s">
        <v>40</v>
      </c>
      <c r="D120" s="100">
        <f>(SUMIF($E$35:$E$114,"12",$L$35:$L$114)/1000)</f>
        <v>8.3521979999999978</v>
      </c>
      <c r="E120" s="9"/>
      <c r="G120" s="10"/>
      <c r="H120" s="12"/>
      <c r="I120" s="13"/>
      <c r="K120" s="9"/>
      <c r="L120" s="9"/>
      <c r="M120" s="14"/>
      <c r="R120" s="13"/>
    </row>
    <row r="121" spans="1:20" s="11" customFormat="1" ht="16.2" x14ac:dyDescent="0.3">
      <c r="A121" s="8"/>
      <c r="B121" s="98">
        <v>4</v>
      </c>
      <c r="C121" s="99" t="s">
        <v>41</v>
      </c>
      <c r="D121" s="100">
        <f>(SUMIF($E$35:$E$114,"16",$L$35:$L$114)/1000)</f>
        <v>2.4937710000000002</v>
      </c>
      <c r="E121" s="9"/>
      <c r="G121" s="10"/>
      <c r="H121" s="12"/>
      <c r="I121" s="13"/>
      <c r="K121" s="9"/>
      <c r="L121" s="9"/>
      <c r="M121" s="14"/>
      <c r="R121" s="13"/>
    </row>
    <row r="122" spans="1:20" s="11" customFormat="1" ht="16.2" x14ac:dyDescent="0.3">
      <c r="A122" s="8"/>
      <c r="B122" s="98">
        <v>5</v>
      </c>
      <c r="C122" s="99" t="s">
        <v>42</v>
      </c>
      <c r="D122" s="100">
        <f>(SUMIF($E$35:$E$114,"20",$L$35:$L$114)/1000)</f>
        <v>0</v>
      </c>
      <c r="E122" s="9"/>
      <c r="G122" s="10"/>
      <c r="H122" s="12"/>
      <c r="I122" s="13"/>
      <c r="K122" s="101"/>
      <c r="L122" s="9"/>
      <c r="M122" s="14"/>
      <c r="R122" s="13"/>
    </row>
    <row r="123" spans="1:20" ht="16.2" x14ac:dyDescent="0.3">
      <c r="B123" s="98">
        <v>6</v>
      </c>
      <c r="C123" s="99" t="s">
        <v>43</v>
      </c>
      <c r="D123" s="100">
        <f>(SUMIF($E$35:$E$114,"25",$L$35:$L$114)/1000)</f>
        <v>0</v>
      </c>
      <c r="T123" s="9"/>
    </row>
    <row r="124" spans="1:20" ht="15" customHeight="1" x14ac:dyDescent="0.3">
      <c r="B124" s="98">
        <v>7</v>
      </c>
      <c r="C124" s="99" t="s">
        <v>44</v>
      </c>
      <c r="D124" s="100">
        <f>(SUMIF($E$35:$E$114,"32",$L$35:$L$114)/1000)</f>
        <v>0</v>
      </c>
      <c r="F124" s="10"/>
      <c r="G124" s="28"/>
      <c r="T124" s="9"/>
    </row>
    <row r="125" spans="1:20" ht="16.8" thickBot="1" x14ac:dyDescent="0.25">
      <c r="B125" s="150" t="s">
        <v>45</v>
      </c>
      <c r="C125" s="151"/>
      <c r="D125" s="102">
        <f>SUM(D118:D124)</f>
        <v>23.145676999999996</v>
      </c>
      <c r="F125" s="10"/>
      <c r="G125" s="28"/>
      <c r="T125" s="9"/>
    </row>
    <row r="126" spans="1:20" ht="24.9" customHeight="1" x14ac:dyDescent="0.2">
      <c r="F126" s="10"/>
      <c r="G126" s="28"/>
      <c r="T126" s="9"/>
    </row>
    <row r="127" spans="1:20" ht="24.9" customHeight="1" x14ac:dyDescent="0.3">
      <c r="A127" s="152"/>
      <c r="B127" s="152"/>
      <c r="C127" s="152"/>
      <c r="D127" s="30"/>
      <c r="E127" s="153"/>
      <c r="F127" s="153"/>
      <c r="G127" s="153"/>
      <c r="H127" s="103"/>
      <c r="I127" s="31"/>
      <c r="J127" s="153"/>
      <c r="K127" s="153"/>
      <c r="L127" s="153"/>
      <c r="T127" s="9"/>
    </row>
    <row r="128" spans="1:20" ht="24.9" customHeight="1" x14ac:dyDescent="0.3">
      <c r="A128" s="33"/>
      <c r="B128" s="30"/>
      <c r="C128" s="32"/>
      <c r="D128" s="30"/>
      <c r="E128" s="31"/>
      <c r="F128" s="30"/>
      <c r="G128" s="104"/>
      <c r="H128" s="103"/>
      <c r="I128" s="31"/>
      <c r="J128" s="30"/>
      <c r="K128" s="30"/>
      <c r="L128" s="30"/>
    </row>
    <row r="129" spans="1:35" ht="24.9" customHeight="1" x14ac:dyDescent="0.3">
      <c r="A129" s="147"/>
      <c r="B129" s="147"/>
      <c r="C129" s="30"/>
      <c r="D129" s="30"/>
      <c r="E129" s="148"/>
      <c r="F129" s="148"/>
      <c r="G129" s="105"/>
      <c r="H129" s="103"/>
      <c r="I129" s="31"/>
      <c r="J129" s="148"/>
      <c r="K129" s="148"/>
      <c r="L129" s="105"/>
    </row>
    <row r="130" spans="1:35" ht="24.9" customHeight="1" x14ac:dyDescent="0.3">
      <c r="A130" s="147"/>
      <c r="B130" s="147"/>
      <c r="C130" s="30"/>
      <c r="D130" s="30"/>
      <c r="E130" s="148"/>
      <c r="F130" s="148"/>
      <c r="G130" s="30"/>
      <c r="H130" s="103"/>
      <c r="I130" s="31"/>
      <c r="J130" s="148"/>
      <c r="K130" s="148"/>
      <c r="L130" s="30"/>
    </row>
    <row r="131" spans="1:35" ht="24.9" customHeight="1" x14ac:dyDescent="0.3">
      <c r="A131" s="147"/>
      <c r="B131" s="147"/>
      <c r="C131" s="30"/>
      <c r="D131" s="30"/>
      <c r="E131" s="148"/>
      <c r="F131" s="148"/>
      <c r="G131" s="30"/>
      <c r="H131" s="103"/>
      <c r="I131" s="31"/>
      <c r="J131" s="148"/>
      <c r="K131" s="148"/>
      <c r="L131" s="30"/>
    </row>
    <row r="132" spans="1:35" ht="24.9" customHeight="1" x14ac:dyDescent="0.3">
      <c r="A132" s="33"/>
      <c r="B132" s="30"/>
      <c r="C132" s="32"/>
      <c r="D132" s="30"/>
      <c r="E132" s="31"/>
      <c r="F132" s="30"/>
      <c r="G132" s="104"/>
      <c r="H132" s="103"/>
      <c r="I132" s="31"/>
      <c r="J132" s="30"/>
      <c r="K132" s="30"/>
      <c r="L132" s="30"/>
    </row>
    <row r="133" spans="1:35" ht="24.9" customHeight="1" x14ac:dyDescent="0.2"/>
    <row r="134" spans="1:35" ht="24.9" customHeight="1" x14ac:dyDescent="0.2"/>
    <row r="135" spans="1:35" s="10" customFormat="1" ht="28.5" customHeight="1" x14ac:dyDescent="0.2">
      <c r="A135" s="8"/>
      <c r="B135" s="9"/>
      <c r="C135" s="9"/>
      <c r="E135" s="9"/>
      <c r="F135" s="11"/>
      <c r="H135" s="12"/>
      <c r="I135" s="13"/>
      <c r="J135" s="11"/>
      <c r="K135" s="9"/>
      <c r="L135" s="9"/>
      <c r="M135" s="14"/>
      <c r="N135" s="9"/>
      <c r="O135" s="15"/>
      <c r="P135" s="15"/>
      <c r="Q135" s="15"/>
      <c r="R135" s="15"/>
      <c r="S135" s="15"/>
      <c r="T135" s="15"/>
      <c r="U135" s="9"/>
      <c r="V135" s="9"/>
    </row>
    <row r="136" spans="1:35" s="10" customFormat="1" ht="20.100000000000001" customHeight="1" x14ac:dyDescent="0.2">
      <c r="A136" s="8"/>
      <c r="B136" s="9"/>
      <c r="C136" s="9"/>
      <c r="E136" s="9"/>
      <c r="F136" s="11"/>
      <c r="H136" s="12"/>
      <c r="I136" s="13"/>
      <c r="J136" s="11"/>
      <c r="K136" s="9"/>
      <c r="L136" s="9"/>
      <c r="M136" s="14"/>
      <c r="N136" s="9"/>
      <c r="O136" s="15"/>
      <c r="P136" s="15"/>
      <c r="Q136" s="15"/>
      <c r="R136" s="15"/>
      <c r="S136" s="15"/>
      <c r="T136" s="15"/>
      <c r="U136" s="9"/>
      <c r="V136" s="9"/>
    </row>
    <row r="137" spans="1:35" ht="20.100000000000001" customHeight="1" x14ac:dyDescent="0.2"/>
    <row r="138" spans="1:35" s="14" customFormat="1" ht="20.100000000000001" customHeight="1" x14ac:dyDescent="0.2">
      <c r="A138" s="8"/>
      <c r="B138" s="9"/>
      <c r="C138" s="9"/>
      <c r="D138" s="10"/>
      <c r="E138" s="9"/>
      <c r="F138" s="11"/>
      <c r="G138" s="10"/>
      <c r="H138" s="12"/>
      <c r="I138" s="13"/>
      <c r="J138" s="11"/>
      <c r="K138" s="9"/>
      <c r="L138" s="9"/>
      <c r="N138" s="9"/>
      <c r="O138" s="15"/>
      <c r="P138" s="15"/>
      <c r="Q138" s="15"/>
      <c r="R138" s="15"/>
      <c r="S138" s="15"/>
      <c r="T138" s="15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</row>
    <row r="139" spans="1:35" s="14" customFormat="1" ht="20.100000000000001" customHeight="1" x14ac:dyDescent="0.2">
      <c r="A139" s="8"/>
      <c r="B139" s="9"/>
      <c r="C139" s="9"/>
      <c r="D139" s="10"/>
      <c r="E139" s="9"/>
      <c r="F139" s="11"/>
      <c r="G139" s="10"/>
      <c r="H139" s="12"/>
      <c r="I139" s="13"/>
      <c r="J139" s="11"/>
      <c r="K139" s="9"/>
      <c r="L139" s="9"/>
      <c r="N139" s="9"/>
      <c r="O139" s="15"/>
      <c r="P139" s="15"/>
      <c r="Q139" s="15"/>
      <c r="R139" s="15"/>
      <c r="S139" s="15"/>
      <c r="T139" s="15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</row>
    <row r="140" spans="1:35" s="14" customFormat="1" ht="20.100000000000001" customHeight="1" x14ac:dyDescent="0.2">
      <c r="A140" s="8"/>
      <c r="B140" s="9"/>
      <c r="C140" s="9"/>
      <c r="D140" s="10"/>
      <c r="E140" s="9"/>
      <c r="F140" s="11"/>
      <c r="G140" s="10"/>
      <c r="H140" s="12"/>
      <c r="I140" s="13"/>
      <c r="J140" s="11"/>
      <c r="K140" s="9"/>
      <c r="L140" s="9"/>
      <c r="N140" s="9"/>
      <c r="O140" s="15"/>
      <c r="P140" s="15"/>
      <c r="Q140" s="15"/>
      <c r="R140" s="15"/>
      <c r="S140" s="15"/>
      <c r="T140" s="15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</row>
    <row r="141" spans="1:35" s="14" customFormat="1" ht="20.100000000000001" customHeight="1" x14ac:dyDescent="0.2">
      <c r="A141" s="8"/>
      <c r="B141" s="9"/>
      <c r="C141" s="9"/>
      <c r="D141" s="10"/>
      <c r="E141" s="9"/>
      <c r="F141" s="11"/>
      <c r="G141" s="10"/>
      <c r="H141" s="12"/>
      <c r="I141" s="13"/>
      <c r="J141" s="11"/>
      <c r="K141" s="9"/>
      <c r="L141" s="9"/>
      <c r="N141" s="9"/>
      <c r="O141" s="15"/>
      <c r="P141" s="15"/>
      <c r="Q141" s="15"/>
      <c r="R141" s="15"/>
      <c r="S141" s="15"/>
      <c r="T141" s="15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</row>
    <row r="142" spans="1:35" s="14" customFormat="1" ht="20.100000000000001" customHeight="1" x14ac:dyDescent="0.2">
      <c r="A142" s="8"/>
      <c r="B142" s="9"/>
      <c r="C142" s="9"/>
      <c r="D142" s="10"/>
      <c r="E142" s="9"/>
      <c r="F142" s="11"/>
      <c r="G142" s="10"/>
      <c r="H142" s="12"/>
      <c r="I142" s="13"/>
      <c r="J142" s="11"/>
      <c r="K142" s="9"/>
      <c r="L142" s="9"/>
      <c r="N142" s="9"/>
      <c r="O142" s="15"/>
      <c r="P142" s="15"/>
      <c r="Q142" s="15"/>
      <c r="R142" s="15"/>
      <c r="S142" s="15"/>
      <c r="T142" s="15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</row>
  </sheetData>
  <mergeCells count="72">
    <mergeCell ref="K5:K6"/>
    <mergeCell ref="F5:F6"/>
    <mergeCell ref="G5:G6"/>
    <mergeCell ref="H5:H6"/>
    <mergeCell ref="I5:I6"/>
    <mergeCell ref="J5:J6"/>
    <mergeCell ref="A5:A6"/>
    <mergeCell ref="B5:B6"/>
    <mergeCell ref="C5:C6"/>
    <mergeCell ref="D5:D6"/>
    <mergeCell ref="E5:E6"/>
    <mergeCell ref="R14:S15"/>
    <mergeCell ref="T14:T15"/>
    <mergeCell ref="Q17:S17"/>
    <mergeCell ref="Q23:S23"/>
    <mergeCell ref="L5:Q5"/>
    <mergeCell ref="R5:R6"/>
    <mergeCell ref="S5:S6"/>
    <mergeCell ref="T5:T6"/>
    <mergeCell ref="R10:S10"/>
    <mergeCell ref="R12:S12"/>
    <mergeCell ref="A37:A38"/>
    <mergeCell ref="M37:M38"/>
    <mergeCell ref="A33:M33"/>
    <mergeCell ref="B34:D34"/>
    <mergeCell ref="H34:I34"/>
    <mergeCell ref="A35:A36"/>
    <mergeCell ref="M35:M36"/>
    <mergeCell ref="A83:A91"/>
    <mergeCell ref="M83:M91"/>
    <mergeCell ref="T92:U92"/>
    <mergeCell ref="A94:A95"/>
    <mergeCell ref="M94:M95"/>
    <mergeCell ref="T94:U94"/>
    <mergeCell ref="A92:A93"/>
    <mergeCell ref="M92:M93"/>
    <mergeCell ref="A129:B129"/>
    <mergeCell ref="E129:F129"/>
    <mergeCell ref="J129:K129"/>
    <mergeCell ref="A96:A102"/>
    <mergeCell ref="M96:M102"/>
    <mergeCell ref="H115:K115"/>
    <mergeCell ref="B125:C125"/>
    <mergeCell ref="A127:C127"/>
    <mergeCell ref="E127:G127"/>
    <mergeCell ref="J127:L127"/>
    <mergeCell ref="A103:A106"/>
    <mergeCell ref="M103:M106"/>
    <mergeCell ref="A107:A110"/>
    <mergeCell ref="M107:M110"/>
    <mergeCell ref="A111:A114"/>
    <mergeCell ref="M111:M114"/>
    <mergeCell ref="A130:B130"/>
    <mergeCell ref="E130:F130"/>
    <mergeCell ref="J130:K130"/>
    <mergeCell ref="A131:B131"/>
    <mergeCell ref="E131:F131"/>
    <mergeCell ref="J131:K131"/>
    <mergeCell ref="A39:A42"/>
    <mergeCell ref="M39:M42"/>
    <mergeCell ref="A51:A57"/>
    <mergeCell ref="M51:M57"/>
    <mergeCell ref="A75:A82"/>
    <mergeCell ref="M75:M82"/>
    <mergeCell ref="A71:A74"/>
    <mergeCell ref="M71:M74"/>
    <mergeCell ref="A43:A50"/>
    <mergeCell ref="M43:M50"/>
    <mergeCell ref="A58:A65"/>
    <mergeCell ref="M58:M65"/>
    <mergeCell ref="A66:A70"/>
    <mergeCell ref="M66:M70"/>
  </mergeCells>
  <printOptions horizontalCentered="1"/>
  <pageMargins left="0.27559055118110198" right="0.27559055118110198" top="0.55118110236220497" bottom="0.70866141732283505" header="0.35433070866141703" footer="0.31496062992126"/>
  <pageSetup paperSize="9" scale="39" fitToHeight="555" orientation="portrait" r:id="rId1"/>
  <headerFooter alignWithMargins="0">
    <oddFooter>&amp;L&amp;14EPC Contractor&amp;C&amp;14Authority Engg&amp;R&amp;14Client</oddFooter>
  </headerFooter>
  <ignoredErrors>
    <ignoredError sqref="L117:L118" evalError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Qty</vt:lpstr>
      <vt:lpstr>BBS</vt:lpstr>
      <vt:lpstr>BBS!Print_Area</vt:lpstr>
      <vt:lpstr>BBS!Print_Titles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2026-05-11T16:49:44Z</dcterms:modified>
</cp:coreProperties>
</file>